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showInkAnnotation="0"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alcinopereira/Dropbox/AARAM/2021/Inscrições21/"/>
    </mc:Choice>
  </mc:AlternateContent>
  <xr:revisionPtr revIDLastSave="0" documentId="13_ncr:1_{7520350A-1028-824E-8CC4-7AB8B22857D7}" xr6:coauthVersionLast="45" xr6:coauthVersionMax="46" xr10:uidLastSave="{00000000-0000-0000-0000-000000000000}"/>
  <workbookProtection workbookAlgorithmName="SHA-512" workbookHashValue="3pK1wEHna4YULBYK+4muWN1jXbaHSBAvVTr4L1miuLX0KWfrx36ACA07tI/BT38xbrB6ir7IcLJIAAmX50bbWw==" workbookSaltValue="8bghoKcsuIvKgQF/wvKDkg==" workbookSpinCount="100000" lockStructure="1"/>
  <bookViews>
    <workbookView xWindow="25540" yWindow="4240" windowWidth="20740" windowHeight="17920" tabRatio="784" xr2:uid="{00000000-000D-0000-FFFF-FFFF00000000}"/>
  </bookViews>
  <sheets>
    <sheet name="Inscr_por_NOME" sheetId="3" r:id="rId1"/>
    <sheet name="Listagem" sheetId="9" r:id="rId2"/>
    <sheet name="Atletas" sheetId="1" state="hidden" r:id="rId3"/>
    <sheet name="Tab_Din_nome" sheetId="7" state="hidden" r:id="rId4"/>
    <sheet name="Tab_Din_listagem" sheetId="10" state="hidden" r:id="rId5"/>
  </sheets>
  <definedNames>
    <definedName name="_xlnm._FilterDatabase" localSheetId="2" hidden="1">Atletas!$A$1:$G$1500</definedName>
    <definedName name="_xlnm._FilterDatabase" localSheetId="0" hidden="1">Inscr_por_NOME!$J$9:$K$208</definedName>
    <definedName name="ACDSJ" localSheetId="4">Atletas!#REF!</definedName>
    <definedName name="ACDSJ">Atletas!#REF!</definedName>
    <definedName name="ADRAP" localSheetId="4">Atletas!#REF!</definedName>
    <definedName name="ADRAP">Atletas!#REF!</definedName>
    <definedName name="AJS" localSheetId="4">Atletas!#REF!</definedName>
    <definedName name="AJS">Atletas!#REF!</definedName>
    <definedName name="_xlnm.Print_Area" localSheetId="0">Inscr_por_NOME!$A$1:$G$71</definedName>
    <definedName name="_xlnm.Print_Area" localSheetId="1">Listagem!$A$1:$I$129</definedName>
    <definedName name="CAF" localSheetId="4">Atletas!#REF!</definedName>
    <definedName name="CAF">Atletas!#REF!</definedName>
    <definedName name="CFA" localSheetId="4">Atletas!#REF!</definedName>
    <definedName name="CFA">Atletas!#REF!</definedName>
    <definedName name="Clubes" localSheetId="4">OFFSET(#REF!,0,0,COUNTA(#REF!)-1,1)</definedName>
    <definedName name="Clubes">OFFSET(#REF!,0,0,COUNTA(#REF!)-1,1)</definedName>
    <definedName name="ClubesPista" localSheetId="4">#REF!</definedName>
    <definedName name="ClubesPista">#REF!</definedName>
    <definedName name="CSM" localSheetId="4">Atletas!#REF!</definedName>
    <definedName name="CSM">Atletas!#REF!</definedName>
    <definedName name="Escalões">Atletas!$R$2:$R$17</definedName>
    <definedName name="GDE" localSheetId="4">Atletas!#REF!</definedName>
    <definedName name="GDE">Atletas!#REF!</definedName>
    <definedName name="LCM" localSheetId="4">Atletas!#REF!</definedName>
    <definedName name="LCM">Atletas!#REF!</definedName>
    <definedName name="Ordem_Escalões">Atletas!$R$2:$R$17</definedName>
    <definedName name="Provas" localSheetId="4">#REF!</definedName>
    <definedName name="Provas">#REF!</definedName>
    <definedName name="RCT" localSheetId="4">Atletas!#REF!</definedName>
    <definedName name="RCT">Atletas!#REF!</definedName>
    <definedName name="_xlnm.Print_Titles" localSheetId="0">Inscr_por_NOME!$1:$9</definedName>
    <definedName name="_xlnm.Print_Titles" localSheetId="1">Listagem!$1:$4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" i="1"/>
  <c r="N534" i="1" l="1"/>
  <c r="N546" i="1"/>
  <c r="N558" i="1"/>
  <c r="N634" i="1"/>
  <c r="N640" i="1"/>
  <c r="N652" i="1"/>
  <c r="N658" i="1"/>
  <c r="N664" i="1"/>
  <c r="N682" i="1"/>
  <c r="N711" i="1"/>
  <c r="N712" i="1"/>
  <c r="N723" i="1"/>
  <c r="N724" i="1"/>
  <c r="N735" i="1"/>
  <c r="N736" i="1"/>
  <c r="N737" i="1"/>
  <c r="N747" i="1"/>
  <c r="N760" i="1"/>
  <c r="N772" i="1"/>
  <c r="N778" i="1"/>
  <c r="N784" i="1"/>
  <c r="N786" i="1"/>
  <c r="N810" i="1"/>
  <c r="N818" i="1"/>
  <c r="N820" i="1"/>
  <c r="N821" i="1"/>
  <c r="N822" i="1"/>
  <c r="N830" i="1"/>
  <c r="N831" i="1"/>
  <c r="N832" i="1"/>
  <c r="N839" i="1"/>
  <c r="N843" i="1"/>
  <c r="N844" i="1"/>
  <c r="N846" i="1"/>
  <c r="N851" i="1"/>
  <c r="N855" i="1"/>
  <c r="N856" i="1"/>
  <c r="N859" i="1"/>
  <c r="N867" i="1"/>
  <c r="N868" i="1"/>
  <c r="N870" i="1"/>
  <c r="N875" i="1"/>
  <c r="N878" i="1"/>
  <c r="N879" i="1"/>
  <c r="N880" i="1"/>
  <c r="N881" i="1"/>
  <c r="N882" i="1"/>
  <c r="N883" i="1"/>
  <c r="N890" i="1"/>
  <c r="N891" i="1"/>
  <c r="N893" i="1"/>
  <c r="N894" i="1"/>
  <c r="N898" i="1"/>
  <c r="N903" i="1"/>
  <c r="N904" i="1"/>
  <c r="N905" i="1"/>
  <c r="N910" i="1"/>
  <c r="N912" i="1"/>
  <c r="N915" i="1"/>
  <c r="N916" i="1"/>
  <c r="N918" i="1"/>
  <c r="N919" i="1"/>
  <c r="N922" i="1"/>
  <c r="N924" i="1"/>
  <c r="N926" i="1"/>
  <c r="N927" i="1"/>
  <c r="N928" i="1"/>
  <c r="N929" i="1"/>
  <c r="N930" i="1"/>
  <c r="N931" i="1"/>
  <c r="N935" i="1"/>
  <c r="N938" i="1"/>
  <c r="N940" i="1"/>
  <c r="N941" i="1"/>
  <c r="N943" i="1"/>
  <c r="N947" i="1"/>
  <c r="N948" i="1"/>
  <c r="N950" i="1"/>
  <c r="N951" i="1"/>
  <c r="N952" i="1"/>
  <c r="N953" i="1"/>
  <c r="N954" i="1"/>
  <c r="N955" i="1"/>
  <c r="N960" i="1"/>
  <c r="N964" i="1"/>
  <c r="N965" i="1"/>
  <c r="N966" i="1"/>
  <c r="N967" i="1"/>
  <c r="N971" i="1"/>
  <c r="N972" i="1"/>
  <c r="N974" i="1"/>
  <c r="N975" i="1"/>
  <c r="N976" i="1"/>
  <c r="N977" i="1"/>
  <c r="N978" i="1"/>
  <c r="N982" i="1"/>
  <c r="N983" i="1"/>
  <c r="N986" i="1"/>
  <c r="N987" i="1"/>
  <c r="N988" i="1"/>
  <c r="N989" i="1"/>
  <c r="N990" i="1"/>
  <c r="N996" i="1"/>
  <c r="N998" i="1"/>
  <c r="N999" i="1"/>
  <c r="N1000" i="1"/>
  <c r="N1001" i="1"/>
  <c r="N1002" i="1"/>
  <c r="N1006" i="1"/>
  <c r="N1009" i="1"/>
  <c r="N1010" i="1"/>
  <c r="N1011" i="1"/>
  <c r="N1012" i="1"/>
  <c r="N1013" i="1"/>
  <c r="N1014" i="1"/>
  <c r="N1018" i="1"/>
  <c r="N1019" i="1"/>
  <c r="N1021" i="1"/>
  <c r="N1022" i="1"/>
  <c r="N1024" i="1"/>
  <c r="N1025" i="1"/>
  <c r="N1026" i="1"/>
  <c r="N1028" i="1"/>
  <c r="N1030" i="1"/>
  <c r="N1032" i="1"/>
  <c r="N1034" i="1"/>
  <c r="N1035" i="1"/>
  <c r="N1036" i="1"/>
  <c r="N1037" i="1"/>
  <c r="N1038" i="1"/>
  <c r="N1039" i="1"/>
  <c r="N1040" i="1"/>
  <c r="N1042" i="1"/>
  <c r="N1044" i="1"/>
  <c r="N1045" i="1"/>
  <c r="N1046" i="1"/>
  <c r="N1047" i="1"/>
  <c r="N1048" i="1"/>
  <c r="N1049" i="1"/>
  <c r="N1050" i="1"/>
  <c r="N1052" i="1"/>
  <c r="N1053" i="1"/>
  <c r="N1054" i="1"/>
  <c r="N1056" i="1"/>
  <c r="N1057" i="1"/>
  <c r="N1058" i="1"/>
  <c r="N1059" i="1"/>
  <c r="N1060" i="1"/>
  <c r="N1061" i="1"/>
  <c r="N1062" i="1"/>
  <c r="N1063" i="1"/>
  <c r="N1064" i="1"/>
  <c r="N1066" i="1"/>
  <c r="N1067" i="1"/>
  <c r="N1069" i="1"/>
  <c r="N1070" i="1"/>
  <c r="N1071" i="1"/>
  <c r="N1072" i="1"/>
  <c r="N1073" i="1"/>
  <c r="N1074" i="1"/>
  <c r="N1078" i="1"/>
  <c r="N1079" i="1"/>
  <c r="N1081" i="1"/>
  <c r="N1082" i="1"/>
  <c r="N1083" i="1"/>
  <c r="N1084" i="1"/>
  <c r="N1085" i="1"/>
  <c r="N1086" i="1"/>
  <c r="N1088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4" i="1"/>
  <c r="N1105" i="1"/>
  <c r="N1106" i="1"/>
  <c r="N1108" i="1"/>
  <c r="N1109" i="1"/>
  <c r="N1110" i="1"/>
  <c r="N1112" i="1"/>
  <c r="N1113" i="1"/>
  <c r="N1114" i="1"/>
  <c r="N1116" i="1"/>
  <c r="N1117" i="1"/>
  <c r="N1118" i="1"/>
  <c r="N1119" i="1"/>
  <c r="N1120" i="1"/>
  <c r="N1121" i="1"/>
  <c r="N1122" i="1"/>
  <c r="N1123" i="1"/>
  <c r="N1125" i="1"/>
  <c r="N1126" i="1"/>
  <c r="N1128" i="1"/>
  <c r="N1129" i="1"/>
  <c r="N1130" i="1"/>
  <c r="N1131" i="1"/>
  <c r="N1132" i="1"/>
  <c r="N1133" i="1"/>
  <c r="N1134" i="1"/>
  <c r="N1136" i="1"/>
  <c r="N1137" i="1"/>
  <c r="N1138" i="1"/>
  <c r="N1139" i="1"/>
  <c r="N1140" i="1"/>
  <c r="N1141" i="1"/>
  <c r="N1142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4" i="1"/>
  <c r="N1225" i="1"/>
  <c r="N1226" i="1"/>
  <c r="N1227" i="1"/>
  <c r="N1228" i="1"/>
  <c r="N1229" i="1"/>
  <c r="N1230" i="1"/>
  <c r="N1231" i="1"/>
  <c r="N1232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8" i="1"/>
  <c r="N1249" i="1"/>
  <c r="N1250" i="1"/>
  <c r="N1251" i="1"/>
  <c r="N1252" i="1"/>
  <c r="N1253" i="1"/>
  <c r="N1254" i="1"/>
  <c r="N1255" i="1"/>
  <c r="N1256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M1501" i="1"/>
  <c r="N1501" i="1"/>
  <c r="N1502" i="1"/>
  <c r="N1503" i="1"/>
  <c r="N1504" i="1"/>
  <c r="N1505" i="1"/>
  <c r="N1506" i="1"/>
  <c r="N1507" i="1"/>
  <c r="N1508" i="1"/>
  <c r="N1509" i="1"/>
  <c r="N1510" i="1"/>
  <c r="N1512" i="1"/>
  <c r="N1513" i="1"/>
  <c r="N1514" i="1"/>
  <c r="N1515" i="1"/>
  <c r="N1516" i="1"/>
  <c r="N1517" i="1"/>
  <c r="N1518" i="1"/>
  <c r="N1519" i="1"/>
  <c r="N1520" i="1"/>
  <c r="N1521" i="1"/>
  <c r="N1523" i="1"/>
  <c r="N1524" i="1"/>
  <c r="M1526" i="1"/>
  <c r="N1526" i="1"/>
  <c r="N1527" i="1"/>
  <c r="N1529" i="1"/>
  <c r="N1530" i="1"/>
  <c r="M1531" i="1"/>
  <c r="N1531" i="1"/>
  <c r="N1532" i="1"/>
  <c r="N1533" i="1"/>
  <c r="N1535" i="1"/>
  <c r="N1536" i="1"/>
  <c r="N1538" i="1"/>
  <c r="N1539" i="1"/>
  <c r="N1541" i="1"/>
  <c r="N1542" i="1"/>
  <c r="M1543" i="1"/>
  <c r="N1543" i="1"/>
  <c r="M1544" i="1"/>
  <c r="N1544" i="1"/>
  <c r="N1545" i="1"/>
  <c r="N1547" i="1"/>
  <c r="N1548" i="1"/>
  <c r="M1549" i="1"/>
  <c r="N1550" i="1"/>
  <c r="N1551" i="1"/>
  <c r="N1553" i="1"/>
  <c r="N1554" i="1"/>
  <c r="N1556" i="1"/>
  <c r="N1557" i="1"/>
  <c r="N1559" i="1"/>
  <c r="N1560" i="1"/>
  <c r="M1561" i="1"/>
  <c r="N1561" i="1"/>
  <c r="M1562" i="1"/>
  <c r="N1562" i="1"/>
  <c r="N1563" i="1"/>
  <c r="N1565" i="1"/>
  <c r="N1566" i="1"/>
  <c r="N1568" i="1"/>
  <c r="N1569" i="1"/>
  <c r="N1571" i="1"/>
  <c r="N1572" i="1"/>
  <c r="M1573" i="1"/>
  <c r="N1573" i="1"/>
  <c r="N1574" i="1"/>
  <c r="N1575" i="1"/>
  <c r="N1577" i="1"/>
  <c r="N1578" i="1"/>
  <c r="M1580" i="1"/>
  <c r="N1580" i="1"/>
  <c r="N1581" i="1"/>
  <c r="N1583" i="1"/>
  <c r="N1584" i="1"/>
  <c r="N1586" i="1"/>
  <c r="N1587" i="1"/>
  <c r="N1589" i="1"/>
  <c r="N1590" i="1"/>
  <c r="M1591" i="1"/>
  <c r="N1591" i="1"/>
  <c r="N1592" i="1"/>
  <c r="N1593" i="1"/>
  <c r="N1595" i="1"/>
  <c r="N1596" i="1"/>
  <c r="M1597" i="1"/>
  <c r="M1598" i="1"/>
  <c r="N1598" i="1"/>
  <c r="N1599" i="1"/>
  <c r="N1601" i="1"/>
  <c r="N1602" i="1"/>
  <c r="N1603" i="1"/>
  <c r="N1604" i="1"/>
  <c r="N1605" i="1"/>
  <c r="N1606" i="1"/>
  <c r="N1608" i="1"/>
  <c r="N1609" i="1"/>
  <c r="N1610" i="1"/>
  <c r="N1611" i="1"/>
  <c r="N1612" i="1"/>
  <c r="M1613" i="1"/>
  <c r="N1613" i="1"/>
  <c r="M1614" i="1"/>
  <c r="N1614" i="1"/>
  <c r="N1615" i="1"/>
  <c r="N1616" i="1"/>
  <c r="N1617" i="1"/>
  <c r="M1619" i="1"/>
  <c r="N1619" i="1"/>
  <c r="N1620" i="1"/>
  <c r="N1621" i="1"/>
  <c r="N1622" i="1"/>
  <c r="N1623" i="1"/>
  <c r="N1625" i="1"/>
  <c r="N1626" i="1"/>
  <c r="N1627" i="1"/>
  <c r="N1628" i="1"/>
  <c r="N1629" i="1"/>
  <c r="N1630" i="1"/>
  <c r="N1631" i="1"/>
  <c r="M1632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M1646" i="1"/>
  <c r="N1646" i="1"/>
  <c r="N1647" i="1"/>
  <c r="N1649" i="1"/>
  <c r="N1650" i="1"/>
  <c r="N1651" i="1"/>
  <c r="N1652" i="1"/>
  <c r="N1653" i="1"/>
  <c r="N1654" i="1"/>
  <c r="N1655" i="1"/>
  <c r="N1656" i="1"/>
  <c r="N1658" i="1"/>
  <c r="N1659" i="1"/>
  <c r="N1660" i="1"/>
  <c r="N1661" i="1"/>
  <c r="M1662" i="1"/>
  <c r="N1662" i="1"/>
  <c r="M1663" i="1"/>
  <c r="N1663" i="1"/>
  <c r="N1664" i="1"/>
  <c r="N1665" i="1"/>
  <c r="N1666" i="1"/>
  <c r="N1667" i="1"/>
  <c r="N1668" i="1"/>
  <c r="N1669" i="1"/>
  <c r="N1670" i="1"/>
  <c r="N1671" i="1"/>
  <c r="N1672" i="1"/>
  <c r="N1673" i="1"/>
  <c r="M1674" i="1"/>
  <c r="N1674" i="1"/>
  <c r="N1675" i="1"/>
  <c r="N1676" i="1"/>
  <c r="N1677" i="1"/>
  <c r="N1679" i="1"/>
  <c r="N1680" i="1"/>
  <c r="N1681" i="1"/>
  <c r="M1682" i="1"/>
  <c r="N1682" i="1"/>
  <c r="N1683" i="1"/>
  <c r="N1684" i="1"/>
  <c r="N1685" i="1"/>
  <c r="N1686" i="1"/>
  <c r="N1687" i="1"/>
  <c r="M1688" i="1"/>
  <c r="N1688" i="1"/>
  <c r="N1689" i="1"/>
  <c r="N1690" i="1"/>
  <c r="N1691" i="1"/>
  <c r="N1692" i="1"/>
  <c r="M1693" i="1"/>
  <c r="N1693" i="1"/>
  <c r="N1694" i="1"/>
  <c r="N1695" i="1"/>
  <c r="N1696" i="1"/>
  <c r="N1697" i="1"/>
  <c r="M1698" i="1"/>
  <c r="N1698" i="1"/>
  <c r="N1699" i="1"/>
  <c r="N1700" i="1"/>
  <c r="N1701" i="1"/>
  <c r="N1702" i="1"/>
  <c r="N1704" i="1"/>
  <c r="M1705" i="1"/>
  <c r="N1706" i="1"/>
  <c r="N1707" i="1"/>
  <c r="N1709" i="1"/>
  <c r="N1710" i="1"/>
  <c r="N1711" i="1"/>
  <c r="N1712" i="1"/>
  <c r="N1713" i="1"/>
  <c r="N1714" i="1"/>
  <c r="N1715" i="1"/>
  <c r="N1716" i="1"/>
  <c r="M1717" i="1"/>
  <c r="N1717" i="1"/>
  <c r="M1718" i="1"/>
  <c r="N1718" i="1"/>
  <c r="N1719" i="1"/>
  <c r="N1720" i="1"/>
  <c r="N1721" i="1"/>
  <c r="N1722" i="1"/>
  <c r="N1723" i="1"/>
  <c r="N1724" i="1"/>
  <c r="N1725" i="1"/>
  <c r="N1727" i="1"/>
  <c r="M1728" i="1"/>
  <c r="N1728" i="1"/>
  <c r="M1729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5" i="1"/>
  <c r="N1746" i="1"/>
  <c r="N1747" i="1"/>
  <c r="N1748" i="1"/>
  <c r="N1749" i="1"/>
  <c r="N1752" i="1"/>
  <c r="N1754" i="1"/>
  <c r="N1755" i="1"/>
  <c r="N1756" i="1"/>
  <c r="N1757" i="1"/>
  <c r="N1758" i="1"/>
  <c r="N1759" i="1"/>
  <c r="N1760" i="1"/>
  <c r="N1761" i="1"/>
  <c r="M1763" i="1"/>
  <c r="N1763" i="1"/>
  <c r="N1764" i="1"/>
  <c r="M1765" i="1"/>
  <c r="N1765" i="1"/>
  <c r="N1766" i="1"/>
  <c r="N1767" i="1"/>
  <c r="N1768" i="1"/>
  <c r="M1770" i="1"/>
  <c r="N1770" i="1"/>
  <c r="N1772" i="1"/>
  <c r="N1773" i="1"/>
  <c r="M1775" i="1"/>
  <c r="N1775" i="1"/>
  <c r="N1776" i="1"/>
  <c r="M1777" i="1"/>
  <c r="N1777" i="1"/>
  <c r="N1778" i="1"/>
  <c r="N1779" i="1"/>
  <c r="M1781" i="1"/>
  <c r="N1782" i="1"/>
  <c r="N1784" i="1"/>
  <c r="N1785" i="1"/>
  <c r="N1786" i="1"/>
  <c r="N1787" i="1"/>
  <c r="N1788" i="1"/>
  <c r="M1789" i="1"/>
  <c r="N1789" i="1"/>
  <c r="N1790" i="1"/>
  <c r="N1791" i="1"/>
  <c r="N1793" i="1"/>
  <c r="N1794" i="1"/>
  <c r="N1795" i="1"/>
  <c r="N1796" i="1"/>
  <c r="N1797" i="1"/>
  <c r="M1799" i="1"/>
  <c r="N1799" i="1"/>
  <c r="M1800" i="1"/>
  <c r="N1800" i="1"/>
  <c r="N1801" i="1"/>
  <c r="N1802" i="1"/>
  <c r="N1803" i="1"/>
  <c r="N1804" i="1"/>
  <c r="N1805" i="1"/>
  <c r="N1806" i="1"/>
  <c r="N1808" i="1"/>
  <c r="N1809" i="1"/>
  <c r="N1811" i="1"/>
  <c r="M1812" i="1"/>
  <c r="N1812" i="1"/>
  <c r="M1813" i="1"/>
  <c r="N1813" i="1"/>
  <c r="M1814" i="1"/>
  <c r="N1814" i="1"/>
  <c r="N1815" i="1"/>
  <c r="N1816" i="1"/>
  <c r="N1818" i="1"/>
  <c r="N1819" i="1"/>
  <c r="N1820" i="1"/>
  <c r="N1821" i="1"/>
  <c r="N1824" i="1"/>
  <c r="N1826" i="1"/>
  <c r="N1827" i="1"/>
  <c r="N1828" i="1"/>
  <c r="M1829" i="1"/>
  <c r="N1829" i="1"/>
  <c r="N1830" i="1"/>
  <c r="M1831" i="1"/>
  <c r="M1832" i="1"/>
  <c r="N1832" i="1"/>
  <c r="N1833" i="1"/>
  <c r="N1834" i="1"/>
  <c r="M1835" i="1"/>
  <c r="N1835" i="1"/>
  <c r="M1836" i="1"/>
  <c r="N1836" i="1"/>
  <c r="M1837" i="1"/>
  <c r="N1837" i="1"/>
  <c r="N1838" i="1"/>
  <c r="N1839" i="1"/>
  <c r="N1841" i="1"/>
  <c r="N1842" i="1"/>
  <c r="N1843" i="1"/>
  <c r="N1844" i="1"/>
  <c r="N1845" i="1"/>
  <c r="N1846" i="1"/>
  <c r="N1847" i="1"/>
  <c r="H1848" i="1"/>
  <c r="N1848" i="1"/>
  <c r="N1849" i="1"/>
  <c r="M1850" i="1"/>
  <c r="N1850" i="1"/>
  <c r="N1851" i="1"/>
  <c r="N1852" i="1"/>
  <c r="M1854" i="1"/>
  <c r="N1854" i="1"/>
  <c r="N1855" i="1"/>
  <c r="N1856" i="1"/>
  <c r="N1857" i="1"/>
  <c r="N1858" i="1"/>
  <c r="N1859" i="1"/>
  <c r="M1860" i="1"/>
  <c r="N1860" i="1"/>
  <c r="M1861" i="1"/>
  <c r="N1861" i="1"/>
  <c r="N1862" i="1"/>
  <c r="N1863" i="1"/>
  <c r="M1865" i="1"/>
  <c r="N1866" i="1"/>
  <c r="N1867" i="1"/>
  <c r="N1868" i="1"/>
  <c r="N1869" i="1"/>
  <c r="N1870" i="1"/>
  <c r="N1871" i="1"/>
  <c r="M1872" i="1"/>
  <c r="N1872" i="1"/>
  <c r="N1873" i="1"/>
  <c r="N1874" i="1"/>
  <c r="N1875" i="1"/>
  <c r="N1876" i="1"/>
  <c r="N1877" i="1"/>
  <c r="H1878" i="1"/>
  <c r="N1878" i="1"/>
  <c r="M1879" i="1"/>
  <c r="N1880" i="1"/>
  <c r="N1881" i="1"/>
  <c r="N1882" i="1"/>
  <c r="N1883" i="1"/>
  <c r="M1884" i="1"/>
  <c r="N1884" i="1"/>
  <c r="N1885" i="1"/>
  <c r="M1886" i="1"/>
  <c r="N1886" i="1"/>
  <c r="N1887" i="1"/>
  <c r="N1888" i="1"/>
  <c r="M1889" i="1"/>
  <c r="N1889" i="1"/>
  <c r="N1890" i="1"/>
  <c r="N1891" i="1"/>
  <c r="N1892" i="1"/>
  <c r="N1893" i="1"/>
  <c r="N1896" i="1"/>
  <c r="M1897" i="1"/>
  <c r="N1897" i="1"/>
  <c r="N1898" i="1"/>
  <c r="N1899" i="1"/>
  <c r="N1900" i="1"/>
  <c r="N1901" i="1"/>
  <c r="N1902" i="1"/>
  <c r="M1904" i="1"/>
  <c r="N1904" i="1"/>
  <c r="N1905" i="1"/>
  <c r="N1906" i="1"/>
  <c r="N1907" i="1"/>
  <c r="M1908" i="1"/>
  <c r="N1908" i="1"/>
  <c r="M1909" i="1"/>
  <c r="N1910" i="1"/>
  <c r="N1911" i="1"/>
  <c r="N1912" i="1"/>
  <c r="N1913" i="1"/>
  <c r="N1914" i="1"/>
  <c r="M1915" i="1"/>
  <c r="N1915" i="1"/>
  <c r="N1916" i="1"/>
  <c r="N1917" i="1"/>
  <c r="N1919" i="1"/>
  <c r="N1920" i="1"/>
  <c r="M1921" i="1"/>
  <c r="M1922" i="1"/>
  <c r="N1922" i="1"/>
  <c r="N1923" i="1"/>
  <c r="N1925" i="1"/>
  <c r="M1926" i="1"/>
  <c r="N1926" i="1"/>
  <c r="N1927" i="1"/>
  <c r="N1928" i="1"/>
  <c r="N1929" i="1"/>
  <c r="N1930" i="1"/>
  <c r="M1931" i="1"/>
  <c r="N1931" i="1"/>
  <c r="N1932" i="1"/>
  <c r="M1933" i="1"/>
  <c r="N1933" i="1"/>
  <c r="N1934" i="1"/>
  <c r="N1935" i="1"/>
  <c r="N1937" i="1"/>
  <c r="N1938" i="1"/>
  <c r="N1939" i="1"/>
  <c r="N1940" i="1"/>
  <c r="N1941" i="1"/>
  <c r="N1942" i="1"/>
  <c r="N1943" i="1"/>
  <c r="M1944" i="1"/>
  <c r="N1944" i="1"/>
  <c r="N1946" i="1"/>
  <c r="N1947" i="1"/>
  <c r="N1948" i="1"/>
  <c r="M1949" i="1"/>
  <c r="N1950" i="1"/>
  <c r="M1951" i="1"/>
  <c r="N1951" i="1"/>
  <c r="N1952" i="1"/>
  <c r="N1953" i="1"/>
  <c r="M1955" i="1"/>
  <c r="M1956" i="1"/>
  <c r="N1956" i="1"/>
  <c r="N1957" i="1"/>
  <c r="M1958" i="1"/>
  <c r="N1958" i="1"/>
  <c r="N1959" i="1"/>
  <c r="N1960" i="1"/>
  <c r="M1961" i="1"/>
  <c r="N1962" i="1"/>
  <c r="N1964" i="1"/>
  <c r="N1965" i="1"/>
  <c r="N1967" i="1"/>
  <c r="N1968" i="1"/>
  <c r="M1969" i="1"/>
  <c r="N1970" i="1"/>
  <c r="N1971" i="1"/>
  <c r="N1972" i="1"/>
  <c r="N1973" i="1"/>
  <c r="N1974" i="1"/>
  <c r="N1975" i="1"/>
  <c r="M1976" i="1"/>
  <c r="N1976" i="1"/>
  <c r="N1977" i="1"/>
  <c r="N1978" i="1"/>
  <c r="M1979" i="1"/>
  <c r="N1979" i="1"/>
  <c r="M1980" i="1"/>
  <c r="N1980" i="1"/>
  <c r="M1981" i="1"/>
  <c r="N1982" i="1"/>
  <c r="N1983" i="1"/>
  <c r="N1984" i="1"/>
  <c r="N1985" i="1"/>
  <c r="N1986" i="1"/>
  <c r="N1987" i="1"/>
  <c r="N1988" i="1"/>
  <c r="N1989" i="1"/>
  <c r="N1990" i="1"/>
  <c r="N1991" i="1"/>
  <c r="H1992" i="1"/>
  <c r="N1992" i="1"/>
  <c r="N1993" i="1"/>
  <c r="M1994" i="1"/>
  <c r="N1994" i="1"/>
  <c r="N1995" i="1"/>
  <c r="N1996" i="1"/>
  <c r="N1997" i="1"/>
  <c r="M1998" i="1"/>
  <c r="N1998" i="1"/>
  <c r="N1999" i="1"/>
  <c r="N2000" i="1"/>
  <c r="N2001" i="1"/>
  <c r="N2003" i="1"/>
  <c r="M2004" i="1"/>
  <c r="N2004" i="1"/>
  <c r="N2005" i="1"/>
  <c r="M2006" i="1"/>
  <c r="N2006" i="1"/>
  <c r="N2007" i="1"/>
  <c r="N2009" i="1"/>
  <c r="M2010" i="1"/>
  <c r="N2010" i="1"/>
  <c r="N2012" i="1"/>
  <c r="N2013" i="1"/>
  <c r="N2015" i="1"/>
  <c r="M2016" i="1"/>
  <c r="N2016" i="1"/>
  <c r="M2017" i="1"/>
  <c r="N2017" i="1"/>
  <c r="M2018" i="1"/>
  <c r="N2018" i="1"/>
  <c r="N2019" i="1"/>
  <c r="N2020" i="1"/>
  <c r="N2" i="1"/>
  <c r="C6" i="3"/>
  <c r="C2" i="9"/>
  <c r="J2001" i="1"/>
  <c r="O2001" i="1"/>
  <c r="L2001" i="1"/>
  <c r="M2001" i="1"/>
  <c r="P2001" i="1"/>
  <c r="P2002" i="1"/>
  <c r="O2002" i="1"/>
  <c r="J2002" i="1"/>
  <c r="L2002" i="1"/>
  <c r="J2003" i="1"/>
  <c r="K2003" i="1"/>
  <c r="L2003" i="1"/>
  <c r="M2003" i="1"/>
  <c r="O2003" i="1"/>
  <c r="P2003" i="1"/>
  <c r="P2004" i="1"/>
  <c r="J2004" i="1"/>
  <c r="K2004" i="1"/>
  <c r="L2004" i="1"/>
  <c r="O2004" i="1"/>
  <c r="J2005" i="1"/>
  <c r="P2005" i="1"/>
  <c r="L2005" i="1"/>
  <c r="M2005" i="1"/>
  <c r="O2005" i="1"/>
  <c r="P2006" i="1"/>
  <c r="O2006" i="1"/>
  <c r="J2006" i="1"/>
  <c r="L2006" i="1"/>
  <c r="P2007" i="1"/>
  <c r="J2007" i="1"/>
  <c r="L2007" i="1"/>
  <c r="M2007" i="1"/>
  <c r="O2007" i="1"/>
  <c r="P2008" i="1"/>
  <c r="J2008" i="1"/>
  <c r="L2008" i="1"/>
  <c r="O2008" i="1"/>
  <c r="J2009" i="1"/>
  <c r="K2009" i="1"/>
  <c r="L2009" i="1"/>
  <c r="M2009" i="1"/>
  <c r="O2009" i="1"/>
  <c r="P2009" i="1"/>
  <c r="J2010" i="1"/>
  <c r="K2010" i="1"/>
  <c r="L2010" i="1"/>
  <c r="O2010" i="1"/>
  <c r="P2010" i="1"/>
  <c r="J2011" i="1"/>
  <c r="L2011" i="1"/>
  <c r="O2011" i="1"/>
  <c r="P2011" i="1"/>
  <c r="H2012" i="1"/>
  <c r="J2012" i="1"/>
  <c r="K2012" i="1"/>
  <c r="L2012" i="1"/>
  <c r="M2012" i="1"/>
  <c r="O2012" i="1"/>
  <c r="P2012" i="1"/>
  <c r="H2013" i="1"/>
  <c r="J2013" i="1"/>
  <c r="P2013" i="1"/>
  <c r="O2013" i="1"/>
  <c r="K2013" i="1"/>
  <c r="L2013" i="1"/>
  <c r="M2013" i="1"/>
  <c r="J2014" i="1"/>
  <c r="P2014" i="1"/>
  <c r="L2014" i="1"/>
  <c r="O2014" i="1"/>
  <c r="H2015" i="1"/>
  <c r="O2015" i="1"/>
  <c r="J2015" i="1"/>
  <c r="K2015" i="1"/>
  <c r="L2015" i="1"/>
  <c r="M2015" i="1"/>
  <c r="P2015" i="1"/>
  <c r="H2016" i="1"/>
  <c r="J2016" i="1"/>
  <c r="P2016" i="1"/>
  <c r="K2016" i="1"/>
  <c r="L2016" i="1"/>
  <c r="O2016" i="1"/>
  <c r="J2017" i="1"/>
  <c r="O2017" i="1"/>
  <c r="L2017" i="1"/>
  <c r="P2017" i="1"/>
  <c r="H2018" i="1"/>
  <c r="J2018" i="1"/>
  <c r="P2018" i="1"/>
  <c r="O2018" i="1"/>
  <c r="K2018" i="1"/>
  <c r="L2018" i="1"/>
  <c r="H2019" i="1"/>
  <c r="P2019" i="1"/>
  <c r="O2019" i="1"/>
  <c r="J2019" i="1"/>
  <c r="K2019" i="1"/>
  <c r="L2019" i="1"/>
  <c r="M2019" i="1"/>
  <c r="J2020" i="1"/>
  <c r="P2020" i="1"/>
  <c r="O2020" i="1"/>
  <c r="L2020" i="1"/>
  <c r="M2020" i="1"/>
  <c r="P2000" i="1"/>
  <c r="J2000" i="1"/>
  <c r="J1999" i="1"/>
  <c r="K1999" i="1"/>
  <c r="K1998" i="1"/>
  <c r="J1996" i="1"/>
  <c r="P1994" i="1"/>
  <c r="K1992" i="1"/>
  <c r="K1991" i="1"/>
  <c r="J1990" i="1"/>
  <c r="P1989" i="1"/>
  <c r="K1989" i="1"/>
  <c r="K1988" i="1"/>
  <c r="J1987" i="1"/>
  <c r="O1986" i="1"/>
  <c r="P1986" i="1"/>
  <c r="K1986" i="1"/>
  <c r="J1985" i="1"/>
  <c r="P1984" i="1"/>
  <c r="H1984" i="1"/>
  <c r="K1983" i="1"/>
  <c r="P1982" i="1"/>
  <c r="J1981" i="1"/>
  <c r="K1980" i="1"/>
  <c r="H1979" i="1"/>
  <c r="P1978" i="1"/>
  <c r="J1978" i="1"/>
  <c r="O1977" i="1"/>
  <c r="K1977" i="1"/>
  <c r="P1976" i="1"/>
  <c r="H1976" i="1"/>
  <c r="J1974" i="1"/>
  <c r="K1974" i="1"/>
  <c r="P1970" i="1"/>
  <c r="P1969" i="1"/>
  <c r="O1968" i="1"/>
  <c r="K1968" i="1"/>
  <c r="P1967" i="1"/>
  <c r="H1967" i="1"/>
  <c r="H1966" i="1"/>
  <c r="P1965" i="1"/>
  <c r="K1965" i="1"/>
  <c r="P1964" i="1"/>
  <c r="J1964" i="1"/>
  <c r="K1964" i="1"/>
  <c r="K1963" i="1"/>
  <c r="K1962" i="1"/>
  <c r="P1961" i="1"/>
  <c r="J1960" i="1"/>
  <c r="H1960" i="1"/>
  <c r="P1959" i="1"/>
  <c r="K1959" i="1"/>
  <c r="J1958" i="1"/>
  <c r="H1957" i="1"/>
  <c r="K1956" i="1"/>
  <c r="P1955" i="1"/>
  <c r="K1955" i="1"/>
  <c r="P1954" i="1"/>
  <c r="P1953" i="1"/>
  <c r="K1953" i="1"/>
  <c r="P1952" i="1"/>
  <c r="K1952" i="1"/>
  <c r="H1951" i="1"/>
  <c r="O1950" i="1"/>
  <c r="K1950" i="1"/>
  <c r="J1949" i="1"/>
  <c r="J1948" i="1"/>
  <c r="K1947" i="1"/>
  <c r="P1946" i="1"/>
  <c r="H1946" i="1"/>
  <c r="J1945" i="1"/>
  <c r="O1944" i="1"/>
  <c r="K1944" i="1"/>
  <c r="P1942" i="1"/>
  <c r="H1942" i="1"/>
  <c r="K1941" i="1"/>
  <c r="P1940" i="1"/>
  <c r="K1940" i="1"/>
  <c r="J1939" i="1"/>
  <c r="K1939" i="1"/>
  <c r="P1938" i="1"/>
  <c r="J1938" i="1"/>
  <c r="P1937" i="1"/>
  <c r="H1937" i="1"/>
  <c r="J1936" i="1"/>
  <c r="P1934" i="1"/>
  <c r="J1934" i="1"/>
  <c r="K1934" i="1"/>
  <c r="H1933" i="1"/>
  <c r="K1932" i="1"/>
  <c r="P1931" i="1"/>
  <c r="K1931" i="1"/>
  <c r="K1930" i="1"/>
  <c r="O1929" i="1"/>
  <c r="P1929" i="1"/>
  <c r="K1929" i="1"/>
  <c r="J1928" i="1"/>
  <c r="H1928" i="1"/>
  <c r="J1927" i="1"/>
  <c r="K1927" i="1"/>
  <c r="P1926" i="1"/>
  <c r="K1926" i="1"/>
  <c r="P1925" i="1"/>
  <c r="H1925" i="1"/>
  <c r="J1924" i="1"/>
  <c r="H1924" i="1"/>
  <c r="P1922" i="1"/>
  <c r="J1921" i="1"/>
  <c r="H1921" i="1"/>
  <c r="O1920" i="1"/>
  <c r="P1920" i="1"/>
  <c r="K1920" i="1"/>
  <c r="J1919" i="1"/>
  <c r="K1919" i="1"/>
  <c r="J1918" i="1"/>
  <c r="H1918" i="1"/>
  <c r="P1917" i="1"/>
  <c r="K1917" i="1"/>
  <c r="J1915" i="1"/>
  <c r="O1914" i="1"/>
  <c r="K1914" i="1"/>
  <c r="J1913" i="1"/>
  <c r="K1913" i="1"/>
  <c r="P1912" i="1"/>
  <c r="H1912" i="1"/>
  <c r="K1911" i="1"/>
  <c r="P1910" i="1"/>
  <c r="J1909" i="1"/>
  <c r="K1909" i="1"/>
  <c r="K1908" i="1"/>
  <c r="P1906" i="1"/>
  <c r="J1906" i="1"/>
  <c r="O1905" i="1"/>
  <c r="K1905" i="1"/>
  <c r="P1904" i="1"/>
  <c r="K1904" i="1"/>
  <c r="J1903" i="1"/>
  <c r="J1902" i="1"/>
  <c r="K1902" i="1"/>
  <c r="P1901" i="1"/>
  <c r="J1900" i="1"/>
  <c r="K1900" i="1"/>
  <c r="P1898" i="1"/>
  <c r="P1897" i="1"/>
  <c r="J1897" i="1"/>
  <c r="K1897" i="1"/>
  <c r="K1896" i="1"/>
  <c r="P1895" i="1"/>
  <c r="H1895" i="1"/>
  <c r="J1894" i="1"/>
  <c r="H1894" i="1"/>
  <c r="K1893" i="1"/>
  <c r="P1892" i="1"/>
  <c r="J1891" i="1"/>
  <c r="O1890" i="1"/>
  <c r="K1890" i="1"/>
  <c r="H1889" i="1"/>
  <c r="J1888" i="1"/>
  <c r="H1888" i="1"/>
  <c r="P1887" i="1"/>
  <c r="K1887" i="1"/>
  <c r="P1886" i="1"/>
  <c r="J1886" i="1"/>
  <c r="K1884" i="1"/>
  <c r="P1883" i="1"/>
  <c r="P1882" i="1"/>
  <c r="J1882" i="1"/>
  <c r="H1882" i="1"/>
  <c r="P1881" i="1"/>
  <c r="K1881" i="1"/>
  <c r="O1878" i="1"/>
  <c r="K1878" i="1"/>
  <c r="P1877" i="1"/>
  <c r="J1877" i="1"/>
  <c r="J1876" i="1"/>
  <c r="K1875" i="1"/>
  <c r="P1874" i="1"/>
  <c r="J1873" i="1"/>
  <c r="O1872" i="1"/>
  <c r="P1872" i="1"/>
  <c r="K1872" i="1"/>
  <c r="P1870" i="1"/>
  <c r="K1870" i="1"/>
  <c r="K1869" i="1"/>
  <c r="H1868" i="1"/>
  <c r="J1867" i="1"/>
  <c r="H1867" i="1"/>
  <c r="J1866" i="1"/>
  <c r="J1864" i="1"/>
  <c r="P1862" i="1"/>
  <c r="K1862" i="1"/>
  <c r="J1861" i="1"/>
  <c r="H1861" i="1"/>
  <c r="K1860" i="1"/>
  <c r="P1859" i="1"/>
  <c r="J1858" i="1"/>
  <c r="K1858" i="1"/>
  <c r="O1857" i="1"/>
  <c r="K1857" i="1"/>
  <c r="P1856" i="1"/>
  <c r="J1856" i="1"/>
  <c r="J1855" i="1"/>
  <c r="K1854" i="1"/>
  <c r="P1853" i="1"/>
  <c r="J1852" i="1"/>
  <c r="H1852" i="1"/>
  <c r="O1851" i="1"/>
  <c r="J1849" i="1"/>
  <c r="H1849" i="1"/>
  <c r="K1848" i="1"/>
  <c r="P1847" i="1"/>
  <c r="H1847" i="1"/>
  <c r="J1846" i="1"/>
  <c r="P1845" i="1"/>
  <c r="K1845" i="1"/>
  <c r="P1844" i="1"/>
  <c r="K1844" i="1"/>
  <c r="H1843" i="1"/>
  <c r="O1842" i="1"/>
  <c r="P1842" i="1"/>
  <c r="K1842" i="1"/>
  <c r="P1841" i="1"/>
  <c r="J1841" i="1"/>
  <c r="P1840" i="1"/>
  <c r="H1840" i="1"/>
  <c r="K1839" i="1"/>
  <c r="P1838" i="1"/>
  <c r="J1837" i="1"/>
  <c r="K1837" i="1"/>
  <c r="P1836" i="1"/>
  <c r="K1836" i="1"/>
  <c r="P1835" i="1"/>
  <c r="H1835" i="1"/>
  <c r="P1834" i="1"/>
  <c r="J1834" i="1"/>
  <c r="O1833" i="1"/>
  <c r="K1833" i="1"/>
  <c r="H1832" i="1"/>
  <c r="J1831" i="1"/>
  <c r="J1830" i="1"/>
  <c r="K1830" i="1"/>
  <c r="H1826" i="1"/>
  <c r="P1825" i="1"/>
  <c r="H1825" i="1"/>
  <c r="O1824" i="1"/>
  <c r="K1824" i="1"/>
  <c r="P1823" i="1"/>
  <c r="J1822" i="1"/>
  <c r="P1821" i="1"/>
  <c r="K1821" i="1"/>
  <c r="P1820" i="1"/>
  <c r="J1820" i="1"/>
  <c r="K1819" i="1"/>
  <c r="K1818" i="1"/>
  <c r="P1817" i="1"/>
  <c r="J1816" i="1"/>
  <c r="H1816" i="1"/>
  <c r="P1815" i="1"/>
  <c r="K1815" i="1"/>
  <c r="J1814" i="1"/>
  <c r="K1812" i="1"/>
  <c r="P1811" i="1"/>
  <c r="K1811" i="1"/>
  <c r="P1810" i="1"/>
  <c r="J1810" i="1"/>
  <c r="P1809" i="1"/>
  <c r="K1809" i="1"/>
  <c r="J1807" i="1"/>
  <c r="H1807" i="1"/>
  <c r="O1806" i="1"/>
  <c r="K1806" i="1"/>
  <c r="J1805" i="1"/>
  <c r="J1804" i="1"/>
  <c r="K1804" i="1"/>
  <c r="P1803" i="1"/>
  <c r="K1803" i="1"/>
  <c r="P1802" i="1"/>
  <c r="H1802" i="1"/>
  <c r="J1801" i="1"/>
  <c r="K1801" i="1"/>
  <c r="O1800" i="1"/>
  <c r="J1800" i="1"/>
  <c r="K1800" i="1"/>
  <c r="H1799" i="1"/>
  <c r="P1798" i="1"/>
  <c r="J1798" i="1"/>
  <c r="K1798" i="1"/>
  <c r="O1797" i="1"/>
  <c r="J1797" i="1"/>
  <c r="H1797" i="1"/>
  <c r="P1796" i="1"/>
  <c r="J1795" i="1"/>
  <c r="P1794" i="1"/>
  <c r="J1794" i="1"/>
  <c r="P1793" i="1"/>
  <c r="J1793" i="1"/>
  <c r="H1792" i="1"/>
  <c r="J1791" i="1"/>
  <c r="P1790" i="1"/>
  <c r="P1789" i="1"/>
  <c r="K1789" i="1"/>
  <c r="O1788" i="1"/>
  <c r="J1788" i="1"/>
  <c r="P1787" i="1"/>
  <c r="J1787" i="1"/>
  <c r="J1786" i="1"/>
  <c r="K1786" i="1"/>
  <c r="O1785" i="1"/>
  <c r="J1785" i="1"/>
  <c r="P1784" i="1"/>
  <c r="P1783" i="1"/>
  <c r="J1783" i="1"/>
  <c r="K1783" i="1"/>
  <c r="P1782" i="1"/>
  <c r="J1782" i="1"/>
  <c r="K1782" i="1"/>
  <c r="P1781" i="1"/>
  <c r="J1781" i="1"/>
  <c r="H1781" i="1"/>
  <c r="J1780" i="1"/>
  <c r="J1779" i="1"/>
  <c r="P1778" i="1"/>
  <c r="J1776" i="1"/>
  <c r="P1775" i="1"/>
  <c r="J1775" i="1"/>
  <c r="H1774" i="1"/>
  <c r="P1773" i="1"/>
  <c r="J1773" i="1"/>
  <c r="P1772" i="1"/>
  <c r="K1772" i="1"/>
  <c r="J1771" i="1"/>
  <c r="H1771" i="1"/>
  <c r="O1770" i="1"/>
  <c r="P1770" i="1"/>
  <c r="J1770" i="1"/>
  <c r="P1769" i="1"/>
  <c r="J1769" i="1"/>
  <c r="K1769" i="1"/>
  <c r="P1768" i="1"/>
  <c r="J1768" i="1"/>
  <c r="H1768" i="1"/>
  <c r="J1767" i="1"/>
  <c r="P1766" i="1"/>
  <c r="K1766" i="1"/>
  <c r="P1765" i="1"/>
  <c r="J1765" i="1"/>
  <c r="K1765" i="1"/>
  <c r="O1764" i="1"/>
  <c r="J1764" i="1"/>
  <c r="K1764" i="1"/>
  <c r="P1763" i="1"/>
  <c r="H1762" i="1"/>
  <c r="O1761" i="1"/>
  <c r="J1761" i="1"/>
  <c r="P1760" i="1"/>
  <c r="K1759" i="1"/>
  <c r="O1758" i="1"/>
  <c r="J1758" i="1"/>
  <c r="K1758" i="1"/>
  <c r="P1757" i="1"/>
  <c r="H1757" i="1"/>
  <c r="H1756" i="1"/>
  <c r="J1755" i="1"/>
  <c r="P1754" i="1"/>
  <c r="P1753" i="1"/>
  <c r="J1753" i="1"/>
  <c r="O1752" i="1"/>
  <c r="J1752" i="1"/>
  <c r="P1751" i="1"/>
  <c r="J1751" i="1"/>
  <c r="J1750" i="1"/>
  <c r="H1750" i="1"/>
  <c r="J1749" i="1"/>
  <c r="P1748" i="1"/>
  <c r="H1748" i="1"/>
  <c r="P1747" i="1"/>
  <c r="J1747" i="1"/>
  <c r="H1747" i="1"/>
  <c r="P1746" i="1"/>
  <c r="J1746" i="1"/>
  <c r="K1746" i="1"/>
  <c r="P1745" i="1"/>
  <c r="H1745" i="1"/>
  <c r="J1744" i="1"/>
  <c r="H1744" i="1"/>
  <c r="O1743" i="1"/>
  <c r="J1743" i="1"/>
  <c r="P1742" i="1"/>
  <c r="K1741" i="1"/>
  <c r="P1740" i="1"/>
  <c r="J1740" i="1"/>
  <c r="P1739" i="1"/>
  <c r="P1738" i="1"/>
  <c r="J1738" i="1"/>
  <c r="J1737" i="1"/>
  <c r="H1737" i="1"/>
  <c r="P1736" i="1"/>
  <c r="J1736" i="1"/>
  <c r="J1735" i="1"/>
  <c r="K1735" i="1"/>
  <c r="O1734" i="1"/>
  <c r="J1734" i="1"/>
  <c r="P1733" i="1"/>
  <c r="J1733" i="1"/>
  <c r="K1732" i="1"/>
  <c r="O1731" i="1"/>
  <c r="P1731" i="1"/>
  <c r="J1731" i="1"/>
  <c r="P1729" i="1"/>
  <c r="K1729" i="1"/>
  <c r="J1728" i="1"/>
  <c r="K1728" i="1"/>
  <c r="P1727" i="1"/>
  <c r="J1726" i="1"/>
  <c r="H1726" i="1"/>
  <c r="O1725" i="1"/>
  <c r="P1725" i="1"/>
  <c r="J1725" i="1"/>
  <c r="P1724" i="1"/>
  <c r="J1724" i="1"/>
  <c r="H1724" i="1"/>
  <c r="J1723" i="1"/>
  <c r="P1722" i="1"/>
  <c r="J1722" i="1"/>
  <c r="K1722" i="1"/>
  <c r="K1721" i="1"/>
  <c r="J1720" i="1"/>
  <c r="J1719" i="1"/>
  <c r="P1718" i="1"/>
  <c r="P1717" i="1"/>
  <c r="K1717" i="1"/>
  <c r="O1716" i="1"/>
  <c r="J1716" i="1"/>
  <c r="P1715" i="1"/>
  <c r="J1715" i="1"/>
  <c r="K1714" i="1"/>
  <c r="O1713" i="1"/>
  <c r="J1713" i="1"/>
  <c r="P1712" i="1"/>
  <c r="K1712" i="1"/>
  <c r="P1711" i="1"/>
  <c r="P1710" i="1"/>
  <c r="J1710" i="1"/>
  <c r="K1710" i="1"/>
  <c r="P1709" i="1"/>
  <c r="J1709" i="1"/>
  <c r="H1709" i="1"/>
  <c r="J1708" i="1"/>
  <c r="H1708" i="1"/>
  <c r="J1707" i="1"/>
  <c r="K1707" i="1"/>
  <c r="P1706" i="1"/>
  <c r="K1706" i="1"/>
  <c r="J1705" i="1"/>
  <c r="K1705" i="1"/>
  <c r="J1704" i="1"/>
  <c r="P1703" i="1"/>
  <c r="J1703" i="1"/>
  <c r="K1703" i="1"/>
  <c r="P1702" i="1"/>
  <c r="H1702" i="1"/>
  <c r="O1701" i="1"/>
  <c r="P1701" i="1"/>
  <c r="K1701" i="1"/>
  <c r="J1700" i="1"/>
  <c r="H1699" i="1"/>
  <c r="P1698" i="1"/>
  <c r="J1698" i="1"/>
  <c r="P1696" i="1"/>
  <c r="P1695" i="1"/>
  <c r="H1695" i="1"/>
  <c r="J1694" i="1"/>
  <c r="H1694" i="1"/>
  <c r="P1692" i="1"/>
  <c r="P1691" i="1"/>
  <c r="H1691" i="1"/>
  <c r="J1690" i="1"/>
  <c r="H1690" i="1"/>
  <c r="P1689" i="1"/>
  <c r="P1688" i="1"/>
  <c r="H1688" i="1"/>
  <c r="J1687" i="1"/>
  <c r="K1687" i="1"/>
  <c r="O1686" i="1"/>
  <c r="P1686" i="1"/>
  <c r="P1685" i="1"/>
  <c r="J1685" i="1"/>
  <c r="J1684" i="1"/>
  <c r="H1684" i="1"/>
  <c r="P1683" i="1"/>
  <c r="P1680" i="1"/>
  <c r="P1679" i="1"/>
  <c r="J1678" i="1"/>
  <c r="O1677" i="1"/>
  <c r="P1677" i="1"/>
  <c r="J1675" i="1"/>
  <c r="H1675" i="1"/>
  <c r="P1674" i="1"/>
  <c r="P1673" i="1"/>
  <c r="J1673" i="1"/>
  <c r="H1673" i="1"/>
  <c r="P1671" i="1"/>
  <c r="J1670" i="1"/>
  <c r="H1669" i="1"/>
  <c r="P1668" i="1"/>
  <c r="P1666" i="1"/>
  <c r="J1666" i="1"/>
  <c r="K1666" i="1"/>
  <c r="P1665" i="1"/>
  <c r="P1664" i="1"/>
  <c r="H1663" i="1"/>
  <c r="P1662" i="1"/>
  <c r="J1662" i="1"/>
  <c r="H1661" i="1"/>
  <c r="J1660" i="1"/>
  <c r="H1660" i="1"/>
  <c r="P1659" i="1"/>
  <c r="H1659" i="1"/>
  <c r="P1658" i="1"/>
  <c r="H1658" i="1"/>
  <c r="J1657" i="1"/>
  <c r="P1656" i="1"/>
  <c r="P1655" i="1"/>
  <c r="J1654" i="1"/>
  <c r="H1654" i="1"/>
  <c r="P1653" i="1"/>
  <c r="P1652" i="1"/>
  <c r="J1652" i="1"/>
  <c r="H1652" i="1"/>
  <c r="P1651" i="1"/>
  <c r="J1651" i="1"/>
  <c r="P1650" i="1"/>
  <c r="K1649" i="1"/>
  <c r="J1648" i="1"/>
  <c r="H1648" i="1"/>
  <c r="P1647" i="1"/>
  <c r="P1646" i="1"/>
  <c r="H1646" i="1"/>
  <c r="J1645" i="1"/>
  <c r="H1645" i="1"/>
  <c r="O1644" i="1"/>
  <c r="P1644" i="1"/>
  <c r="K1642" i="1"/>
  <c r="O1641" i="1"/>
  <c r="P1641" i="1"/>
  <c r="P1640" i="1"/>
  <c r="K1639" i="1"/>
  <c r="P1638" i="1"/>
  <c r="K1638" i="1"/>
  <c r="J1637" i="1"/>
  <c r="P1635" i="1"/>
  <c r="H1635" i="1"/>
  <c r="P1632" i="1"/>
  <c r="P1630" i="1"/>
  <c r="J1630" i="1"/>
  <c r="P1628" i="1"/>
  <c r="H1628" i="1"/>
  <c r="P1627" i="1"/>
  <c r="J1627" i="1"/>
  <c r="P1625" i="1"/>
  <c r="P1624" i="1"/>
  <c r="K1624" i="1"/>
  <c r="K1623" i="1"/>
  <c r="P1622" i="1"/>
  <c r="H1622" i="1"/>
  <c r="P1621" i="1"/>
  <c r="J1621" i="1"/>
  <c r="K1621" i="1"/>
  <c r="J1620" i="1"/>
  <c r="P1619" i="1"/>
  <c r="P1618" i="1"/>
  <c r="O1617" i="1"/>
  <c r="H1617" i="1"/>
  <c r="J1616" i="1"/>
  <c r="P1615" i="1"/>
  <c r="H1615" i="1"/>
  <c r="K1613" i="1"/>
  <c r="P1612" i="1"/>
  <c r="P1611" i="1"/>
  <c r="P1610" i="1"/>
  <c r="H1610" i="1"/>
  <c r="P1609" i="1"/>
  <c r="J1609" i="1"/>
  <c r="K1609" i="1"/>
  <c r="O1608" i="1"/>
  <c r="P1607" i="1"/>
  <c r="K1607" i="1"/>
  <c r="P1606" i="1"/>
  <c r="O1605" i="1"/>
  <c r="J1604" i="1"/>
  <c r="J1603" i="1"/>
  <c r="K1603" i="1"/>
  <c r="O1602" i="1"/>
  <c r="P1602" i="1"/>
  <c r="J1601" i="1"/>
  <c r="J1600" i="1"/>
  <c r="H1599" i="1"/>
  <c r="P1598" i="1"/>
  <c r="J1597" i="1"/>
  <c r="P1596" i="1"/>
  <c r="K1595" i="1"/>
  <c r="H1593" i="1"/>
  <c r="H1588" i="1"/>
  <c r="H1587" i="1"/>
  <c r="H1586" i="1"/>
  <c r="J1585" i="1"/>
  <c r="H1585" i="1"/>
  <c r="P1583" i="1"/>
  <c r="J1582" i="1"/>
  <c r="H1581" i="1"/>
  <c r="K1579" i="1"/>
  <c r="P1578" i="1"/>
  <c r="K1576" i="1"/>
  <c r="H1575" i="1"/>
  <c r="P1574" i="1"/>
  <c r="J1573" i="1"/>
  <c r="K1570" i="1"/>
  <c r="H1569" i="1"/>
  <c r="J1564" i="1"/>
  <c r="H1563" i="1"/>
  <c r="P1562" i="1"/>
  <c r="H1562" i="1"/>
  <c r="J1561" i="1"/>
  <c r="H1561" i="1"/>
  <c r="P1560" i="1"/>
  <c r="H1557" i="1"/>
  <c r="P1556" i="1"/>
  <c r="H1556" i="1"/>
  <c r="P1553" i="1"/>
  <c r="K1553" i="1"/>
  <c r="H1551" i="1"/>
  <c r="H1550" i="1"/>
  <c r="J1549" i="1"/>
  <c r="H1549" i="1"/>
  <c r="P1547" i="1"/>
  <c r="K1547" i="1"/>
  <c r="J1546" i="1"/>
  <c r="H1545" i="1"/>
  <c r="H1543" i="1"/>
  <c r="P1542" i="1"/>
  <c r="H1539" i="1"/>
  <c r="P1538" i="1"/>
  <c r="H1537" i="1"/>
  <c r="H1533" i="1"/>
  <c r="J1531" i="1"/>
  <c r="K1531" i="1"/>
  <c r="P1529" i="1"/>
  <c r="H1529" i="1"/>
  <c r="J1528" i="1"/>
  <c r="H1527" i="1"/>
  <c r="P1526" i="1"/>
  <c r="J1525" i="1"/>
  <c r="K1525" i="1"/>
  <c r="P1524" i="1"/>
  <c r="K1523" i="1"/>
  <c r="H1521" i="1"/>
  <c r="P1520" i="1"/>
  <c r="P1519" i="1"/>
  <c r="P1517" i="1"/>
  <c r="H1517" i="1"/>
  <c r="P1514" i="1"/>
  <c r="K1514" i="1"/>
  <c r="J1513" i="1"/>
  <c r="P1511" i="1"/>
  <c r="P1509" i="1"/>
  <c r="P1508" i="1"/>
  <c r="P1506" i="1"/>
  <c r="P1505" i="1"/>
  <c r="P1504" i="1"/>
  <c r="O1503" i="1"/>
  <c r="K1503" i="1"/>
  <c r="P1502" i="1"/>
  <c r="J1502" i="1"/>
  <c r="O1500" i="1"/>
  <c r="K1499" i="1"/>
  <c r="O1494" i="1"/>
  <c r="J1489" i="1"/>
  <c r="O1488" i="1"/>
  <c r="K1487" i="1"/>
  <c r="P1484" i="1"/>
  <c r="H1483" i="1"/>
  <c r="O1482" i="1"/>
  <c r="K1480" i="1"/>
  <c r="K1478" i="1"/>
  <c r="O1476" i="1"/>
  <c r="H1475" i="1"/>
  <c r="J1474" i="1"/>
  <c r="K1474" i="1"/>
  <c r="H1471" i="1"/>
  <c r="O1470" i="1"/>
  <c r="P1469" i="1"/>
  <c r="K1469" i="1"/>
  <c r="O1464" i="1"/>
  <c r="K1460" i="1"/>
  <c r="O1458" i="1"/>
  <c r="J1456" i="1"/>
  <c r="K1454" i="1"/>
  <c r="O1452" i="1"/>
  <c r="P1451" i="1"/>
  <c r="K1451" i="1"/>
  <c r="H1447" i="1"/>
  <c r="O1446" i="1"/>
  <c r="K1445" i="1"/>
  <c r="K1444" i="1"/>
  <c r="K1442" i="1"/>
  <c r="K1441" i="1"/>
  <c r="O1440" i="1"/>
  <c r="H1436" i="1"/>
  <c r="J1435" i="1"/>
  <c r="H1435" i="1"/>
  <c r="O1434" i="1"/>
  <c r="P1430" i="1"/>
  <c r="O1428" i="1"/>
  <c r="K1427" i="1"/>
  <c r="O1422" i="1"/>
  <c r="K1418" i="1"/>
  <c r="J1417" i="1"/>
  <c r="O1416" i="1"/>
  <c r="P1412" i="1"/>
  <c r="K1412" i="1"/>
  <c r="H1411" i="1"/>
  <c r="O1410" i="1"/>
  <c r="H1409" i="1"/>
  <c r="K1408" i="1"/>
  <c r="K1406" i="1"/>
  <c r="O1404" i="1"/>
  <c r="J1402" i="1"/>
  <c r="K1400" i="1"/>
  <c r="H1399" i="1"/>
  <c r="O1398" i="1"/>
  <c r="P1397" i="1"/>
  <c r="K1397" i="1"/>
  <c r="H1396" i="1"/>
  <c r="K1393" i="1"/>
  <c r="O1392" i="1"/>
  <c r="K1390" i="1"/>
  <c r="K1388" i="1"/>
  <c r="H1387" i="1"/>
  <c r="O1386" i="1"/>
  <c r="K1385" i="1"/>
  <c r="J1384" i="1"/>
  <c r="K1382" i="1"/>
  <c r="O1380" i="1"/>
  <c r="P1379" i="1"/>
  <c r="K1378" i="1"/>
  <c r="K1376" i="1"/>
  <c r="H1375" i="1"/>
  <c r="O1374" i="1"/>
  <c r="K1373" i="1"/>
  <c r="K1372" i="1"/>
  <c r="H1370" i="1"/>
  <c r="K1369" i="1"/>
  <c r="O1368" i="1"/>
  <c r="K1367" i="1"/>
  <c r="K1366" i="1"/>
  <c r="K1364" i="1"/>
  <c r="J1363" i="1"/>
  <c r="O1362" i="1"/>
  <c r="K1361" i="1"/>
  <c r="K1360" i="1"/>
  <c r="P1358" i="1"/>
  <c r="K1358" i="1"/>
  <c r="H1357" i="1"/>
  <c r="O1356" i="1"/>
  <c r="K1355" i="1"/>
  <c r="K1354" i="1"/>
  <c r="K1352" i="1"/>
  <c r="O1350" i="1"/>
  <c r="K1348" i="1"/>
  <c r="K1346" i="1"/>
  <c r="J1345" i="1"/>
  <c r="O1344" i="1"/>
  <c r="K1343" i="1"/>
  <c r="P1340" i="1"/>
  <c r="K1340" i="1"/>
  <c r="H1339" i="1"/>
  <c r="O1338" i="1"/>
  <c r="K1337" i="1"/>
  <c r="K1336" i="1"/>
  <c r="K1334" i="1"/>
  <c r="K1333" i="1"/>
  <c r="O1332" i="1"/>
  <c r="J1330" i="1"/>
  <c r="K1330" i="1"/>
  <c r="H1327" i="1"/>
  <c r="O1326" i="1"/>
  <c r="P1325" i="1"/>
  <c r="O1320" i="1"/>
  <c r="K1316" i="1"/>
  <c r="H1315" i="1"/>
  <c r="O1314" i="1"/>
  <c r="J1312" i="1"/>
  <c r="K1312" i="1"/>
  <c r="K1309" i="1"/>
  <c r="O1308" i="1"/>
  <c r="P1307" i="1"/>
  <c r="K1307" i="1"/>
  <c r="K1306" i="1"/>
  <c r="K1304" i="1"/>
  <c r="O1302" i="1"/>
  <c r="K1301" i="1"/>
  <c r="K1300" i="1"/>
  <c r="K1298" i="1"/>
  <c r="K1297" i="1"/>
  <c r="O1296" i="1"/>
  <c r="K1294" i="1"/>
  <c r="H1292" i="1"/>
  <c r="J1291" i="1"/>
  <c r="H1291" i="1"/>
  <c r="O1290" i="1"/>
  <c r="K1289" i="1"/>
  <c r="K1288" i="1"/>
  <c r="P1286" i="1"/>
  <c r="K1285" i="1"/>
  <c r="O1284" i="1"/>
  <c r="K1283" i="1"/>
  <c r="O1278" i="1"/>
  <c r="K1276" i="1"/>
  <c r="K1274" i="1"/>
  <c r="J1273" i="1"/>
  <c r="O1272" i="1"/>
  <c r="K1270" i="1"/>
  <c r="P1268" i="1"/>
  <c r="O1266" i="1"/>
  <c r="H1265" i="1"/>
  <c r="K1264" i="1"/>
  <c r="K1262" i="1"/>
  <c r="O1260" i="1"/>
  <c r="K1259" i="1"/>
  <c r="J1258" i="1"/>
  <c r="K1258" i="1"/>
  <c r="H1255" i="1"/>
  <c r="O1254" i="1"/>
  <c r="P1253" i="1"/>
  <c r="H1252" i="1"/>
  <c r="K1250" i="1"/>
  <c r="O1248" i="1"/>
  <c r="K1247" i="1"/>
  <c r="K1246" i="1"/>
  <c r="K1244" i="1"/>
  <c r="O1242" i="1"/>
  <c r="K1241" i="1"/>
  <c r="J1240" i="1"/>
  <c r="K1237" i="1"/>
  <c r="O1236" i="1"/>
  <c r="P1235" i="1"/>
  <c r="H1231" i="1"/>
  <c r="O1230" i="1"/>
  <c r="K1229" i="1"/>
  <c r="K1228" i="1"/>
  <c r="K1225" i="1"/>
  <c r="O1224" i="1"/>
  <c r="K1222" i="1"/>
  <c r="K1220" i="1"/>
  <c r="J1219" i="1"/>
  <c r="H1219" i="1"/>
  <c r="O1218" i="1"/>
  <c r="K1216" i="1"/>
  <c r="P1214" i="1"/>
  <c r="K1214" i="1"/>
  <c r="H1213" i="1"/>
  <c r="O1212" i="1"/>
  <c r="K1211" i="1"/>
  <c r="O1206" i="1"/>
  <c r="K1204" i="1"/>
  <c r="K1202" i="1"/>
  <c r="J1201" i="1"/>
  <c r="O1200" i="1"/>
  <c r="K1199" i="1"/>
  <c r="K1198" i="1"/>
  <c r="P1196" i="1"/>
  <c r="K1196" i="1"/>
  <c r="H1195" i="1"/>
  <c r="O1194" i="1"/>
  <c r="K1193" i="1"/>
  <c r="K1192" i="1"/>
  <c r="K1190" i="1"/>
  <c r="O1188" i="1"/>
  <c r="H1187" i="1"/>
  <c r="J1186" i="1"/>
  <c r="K1186" i="1"/>
  <c r="H1183" i="1"/>
  <c r="O1182" i="1"/>
  <c r="P1181" i="1"/>
  <c r="K1180" i="1"/>
  <c r="K1178" i="1"/>
  <c r="K1177" i="1"/>
  <c r="O1176" i="1"/>
  <c r="K1175" i="1"/>
  <c r="K1172" i="1"/>
  <c r="O1170" i="1"/>
  <c r="J1168" i="1"/>
  <c r="K1168" i="1"/>
  <c r="K1166" i="1"/>
  <c r="K1165" i="1"/>
  <c r="O1164" i="1"/>
  <c r="P1163" i="1"/>
  <c r="K1163" i="1"/>
  <c r="K1162" i="1"/>
  <c r="K1160" i="1"/>
  <c r="O1158" i="1"/>
  <c r="K1157" i="1"/>
  <c r="K1156" i="1"/>
  <c r="K1154" i="1"/>
  <c r="K1153" i="1"/>
  <c r="O1152" i="1"/>
  <c r="K1151" i="1"/>
  <c r="H1148" i="1"/>
  <c r="J1147" i="1"/>
  <c r="O1146" i="1"/>
  <c r="K1145" i="1"/>
  <c r="K1144" i="1"/>
  <c r="P1142" i="1"/>
  <c r="K1142" i="1"/>
  <c r="K1141" i="1"/>
  <c r="O1140" i="1"/>
  <c r="K1139" i="1"/>
  <c r="O1134" i="1"/>
  <c r="K1132" i="1"/>
  <c r="K1130" i="1"/>
  <c r="J1129" i="1"/>
  <c r="O1128" i="1"/>
  <c r="K1127" i="1"/>
  <c r="K1126" i="1"/>
  <c r="P1124" i="1"/>
  <c r="O1122" i="1"/>
  <c r="H1121" i="1"/>
  <c r="K1120" i="1"/>
  <c r="K1118" i="1"/>
  <c r="K1117" i="1"/>
  <c r="O1116" i="1"/>
  <c r="K1115" i="1"/>
  <c r="J1114" i="1"/>
  <c r="K1114" i="1"/>
  <c r="H1111" i="1"/>
  <c r="O1110" i="1"/>
  <c r="P1109" i="1"/>
  <c r="K1109" i="1"/>
  <c r="K1106" i="1"/>
  <c r="K1105" i="1"/>
  <c r="O1104" i="1"/>
  <c r="K1102" i="1"/>
  <c r="K1100" i="1"/>
  <c r="O1098" i="1"/>
  <c r="K1097" i="1"/>
  <c r="J1096" i="1"/>
  <c r="K1094" i="1"/>
  <c r="O1092" i="1"/>
  <c r="P1091" i="1"/>
  <c r="K1091" i="1"/>
  <c r="K1090" i="1"/>
  <c r="K1088" i="1"/>
  <c r="O1086" i="1"/>
  <c r="K1085" i="1"/>
  <c r="H1082" i="1"/>
  <c r="K1081" i="1"/>
  <c r="O1080" i="1"/>
  <c r="K1078" i="1"/>
  <c r="K1076" i="1"/>
  <c r="J1075" i="1"/>
  <c r="H1075" i="1"/>
  <c r="O1074" i="1"/>
  <c r="K1073" i="1"/>
  <c r="K1072" i="1"/>
  <c r="P1070" i="1"/>
  <c r="K1070" i="1"/>
  <c r="H1069" i="1"/>
  <c r="O1068" i="1"/>
  <c r="K1067" i="1"/>
  <c r="K1066" i="1"/>
  <c r="O1062" i="1"/>
  <c r="K1061" i="1"/>
  <c r="K1060" i="1"/>
  <c r="K1058" i="1"/>
  <c r="J1057" i="1"/>
  <c r="K1057" i="1"/>
  <c r="O1056" i="1"/>
  <c r="K1055" i="1"/>
  <c r="K1054" i="1"/>
  <c r="P1052" i="1"/>
  <c r="K1052" i="1"/>
  <c r="O1050" i="1"/>
  <c r="K1049" i="1"/>
  <c r="K1048" i="1"/>
  <c r="K1045" i="1"/>
  <c r="O1044" i="1"/>
  <c r="H1043" i="1"/>
  <c r="J1042" i="1"/>
  <c r="K1042" i="1"/>
  <c r="O1038" i="1"/>
  <c r="P1037" i="1"/>
  <c r="K1037" i="1"/>
  <c r="K1036" i="1"/>
  <c r="K1034" i="1"/>
  <c r="O1032" i="1"/>
  <c r="K1028" i="1"/>
  <c r="O1026" i="1"/>
  <c r="K1025" i="1"/>
  <c r="J1024" i="1"/>
  <c r="K1024" i="1"/>
  <c r="K1022" i="1"/>
  <c r="K1021" i="1"/>
  <c r="O1020" i="1"/>
  <c r="P1019" i="1"/>
  <c r="K1019" i="1"/>
  <c r="K1018" i="1"/>
  <c r="K1016" i="1"/>
  <c r="O1014" i="1"/>
  <c r="K1013" i="1"/>
  <c r="K1012" i="1"/>
  <c r="K1010" i="1"/>
  <c r="K1009" i="1"/>
  <c r="O1008" i="1"/>
  <c r="K1006" i="1"/>
  <c r="J1003" i="1"/>
  <c r="O1002" i="1"/>
  <c r="K1001" i="1"/>
  <c r="P998" i="1"/>
  <c r="K998" i="1"/>
  <c r="O996" i="1"/>
  <c r="K995" i="1"/>
  <c r="H994" i="1"/>
  <c r="O990" i="1"/>
  <c r="K989" i="1"/>
  <c r="K988" i="1"/>
  <c r="K986" i="1"/>
  <c r="J985" i="1"/>
  <c r="K985" i="1"/>
  <c r="O984" i="1"/>
  <c r="K983" i="1"/>
  <c r="P980" i="1"/>
  <c r="K980" i="1"/>
  <c r="H979" i="1"/>
  <c r="O978" i="1"/>
  <c r="K976" i="1"/>
  <c r="K974" i="1"/>
  <c r="K973" i="1"/>
  <c r="O972" i="1"/>
  <c r="J970" i="1"/>
  <c r="K970" i="1"/>
  <c r="O966" i="1"/>
  <c r="P965" i="1"/>
  <c r="K962" i="1"/>
  <c r="K961" i="1"/>
  <c r="O960" i="1"/>
  <c r="K959" i="1"/>
  <c r="K958" i="1"/>
  <c r="K956" i="1"/>
  <c r="O954" i="1"/>
  <c r="J952" i="1"/>
  <c r="K952" i="1"/>
  <c r="K950" i="1"/>
  <c r="K949" i="1"/>
  <c r="O948" i="1"/>
  <c r="P947" i="1"/>
  <c r="K946" i="1"/>
  <c r="K944" i="1"/>
  <c r="O942" i="1"/>
  <c r="K940" i="1"/>
  <c r="K937" i="1"/>
  <c r="O936" i="1"/>
  <c r="K935" i="1"/>
  <c r="K934" i="1"/>
  <c r="K932" i="1"/>
  <c r="J931" i="1"/>
  <c r="O930" i="1"/>
  <c r="K929" i="1"/>
  <c r="H928" i="1"/>
  <c r="P926" i="1"/>
  <c r="K926" i="1"/>
  <c r="H925" i="1"/>
  <c r="O924" i="1"/>
  <c r="K923" i="1"/>
  <c r="H922" i="1"/>
  <c r="O918" i="1"/>
  <c r="K917" i="1"/>
  <c r="K916" i="1"/>
  <c r="K914" i="1"/>
  <c r="J913" i="1"/>
  <c r="K913" i="1"/>
  <c r="O912" i="1"/>
  <c r="K911" i="1"/>
  <c r="K910" i="1"/>
  <c r="P908" i="1"/>
  <c r="K908" i="1"/>
  <c r="O906" i="1"/>
  <c r="K904" i="1"/>
  <c r="K901" i="1"/>
  <c r="O900" i="1"/>
  <c r="J898" i="1"/>
  <c r="K898" i="1"/>
  <c r="K896" i="1"/>
  <c r="O894" i="1"/>
  <c r="P893" i="1"/>
  <c r="K892" i="1"/>
  <c r="K890" i="1"/>
  <c r="H889" i="1"/>
  <c r="O888" i="1"/>
  <c r="K887" i="1"/>
  <c r="K884" i="1"/>
  <c r="O882" i="1"/>
  <c r="K881" i="1"/>
  <c r="J880" i="1"/>
  <c r="K880" i="1"/>
  <c r="K878" i="1"/>
  <c r="H877" i="1"/>
  <c r="O876" i="1"/>
  <c r="P875" i="1"/>
  <c r="K875" i="1"/>
  <c r="K874" i="1"/>
  <c r="K872" i="1"/>
  <c r="O870" i="1"/>
  <c r="K869" i="1"/>
  <c r="K868" i="1"/>
  <c r="K865" i="1"/>
  <c r="O864" i="1"/>
  <c r="K862" i="1"/>
  <c r="J859" i="1"/>
  <c r="O858" i="1"/>
  <c r="K857" i="1"/>
  <c r="K856" i="1"/>
  <c r="P854" i="1"/>
  <c r="K854" i="1"/>
  <c r="K853" i="1"/>
  <c r="O852" i="1"/>
  <c r="K851" i="1"/>
  <c r="K848" i="1"/>
  <c r="O846" i="1"/>
  <c r="K844" i="1"/>
  <c r="K842" i="1"/>
  <c r="J841" i="1"/>
  <c r="K841" i="1"/>
  <c r="O840" i="1"/>
  <c r="K839" i="1"/>
  <c r="K838" i="1"/>
  <c r="P836" i="1"/>
  <c r="K836" i="1"/>
  <c r="O834" i="1"/>
  <c r="K832" i="1"/>
  <c r="K830" i="1"/>
  <c r="K829" i="1"/>
  <c r="O828" i="1"/>
  <c r="J826" i="1"/>
  <c r="K826" i="1"/>
  <c r="O822" i="1"/>
  <c r="P821" i="1"/>
  <c r="H817" i="1"/>
  <c r="O816" i="1"/>
  <c r="K815" i="1"/>
  <c r="K814" i="1"/>
  <c r="K812" i="1"/>
  <c r="O810" i="1"/>
  <c r="K809" i="1"/>
  <c r="J808" i="1"/>
  <c r="K808" i="1"/>
  <c r="O804" i="1"/>
  <c r="P803" i="1"/>
  <c r="K803" i="1"/>
  <c r="K802" i="1"/>
  <c r="O798" i="1"/>
  <c r="K796" i="1"/>
  <c r="K793" i="1"/>
  <c r="O792" i="1"/>
  <c r="K788" i="1"/>
  <c r="J787" i="1"/>
  <c r="O786" i="1"/>
  <c r="K785" i="1"/>
  <c r="P782" i="1"/>
  <c r="K782" i="1"/>
  <c r="H781" i="1"/>
  <c r="O780" i="1"/>
  <c r="K779" i="1"/>
  <c r="K778" i="1"/>
  <c r="K776" i="1"/>
  <c r="O774" i="1"/>
  <c r="K772" i="1"/>
  <c r="K770" i="1"/>
  <c r="J769" i="1"/>
  <c r="H769" i="1"/>
  <c r="O768" i="1"/>
  <c r="K767" i="1"/>
  <c r="K766" i="1"/>
  <c r="P764" i="1"/>
  <c r="K764" i="1"/>
  <c r="O762" i="1"/>
  <c r="K760" i="1"/>
  <c r="K757" i="1"/>
  <c r="O756" i="1"/>
  <c r="H755" i="1"/>
  <c r="J754" i="1"/>
  <c r="K754" i="1"/>
  <c r="O750" i="1"/>
  <c r="P749" i="1"/>
  <c r="K749" i="1"/>
  <c r="K748" i="1"/>
  <c r="O744" i="1"/>
  <c r="K743" i="1"/>
  <c r="K740" i="1"/>
  <c r="H739" i="1"/>
  <c r="O738" i="1"/>
  <c r="K737" i="1"/>
  <c r="J736" i="1"/>
  <c r="K736" i="1"/>
  <c r="K734" i="1"/>
  <c r="K733" i="1"/>
  <c r="O732" i="1"/>
  <c r="P731" i="1"/>
  <c r="H731" i="1"/>
  <c r="K730" i="1"/>
  <c r="K728" i="1"/>
  <c r="O726" i="1"/>
  <c r="K725" i="1"/>
  <c r="K724" i="1"/>
  <c r="K722" i="1"/>
  <c r="K721" i="1"/>
  <c r="O720" i="1"/>
  <c r="K718" i="1"/>
  <c r="J715" i="1"/>
  <c r="O714" i="1"/>
  <c r="K713" i="1"/>
  <c r="K712" i="1"/>
  <c r="P710" i="1"/>
  <c r="K710" i="1"/>
  <c r="H709" i="1"/>
  <c r="O708" i="1"/>
  <c r="K707" i="1"/>
  <c r="K704" i="1"/>
  <c r="O702" i="1"/>
  <c r="H701" i="1"/>
  <c r="K700" i="1"/>
  <c r="K698" i="1"/>
  <c r="J697" i="1"/>
  <c r="K697" i="1"/>
  <c r="O696" i="1"/>
  <c r="K695" i="1"/>
  <c r="K694" i="1"/>
  <c r="P692" i="1"/>
  <c r="K692" i="1"/>
  <c r="H691" i="1"/>
  <c r="O690" i="1"/>
  <c r="K688" i="1"/>
  <c r="K686" i="1"/>
  <c r="K685" i="1"/>
  <c r="O684" i="1"/>
  <c r="K683" i="1"/>
  <c r="J682" i="1"/>
  <c r="K682" i="1"/>
  <c r="H680" i="1"/>
  <c r="O678" i="1"/>
  <c r="P677" i="1"/>
  <c r="K677" i="1"/>
  <c r="K674" i="1"/>
  <c r="K673" i="1"/>
  <c r="O672" i="1"/>
  <c r="K671" i="1"/>
  <c r="K670" i="1"/>
  <c r="K668" i="1"/>
  <c r="H667" i="1"/>
  <c r="O666" i="1"/>
  <c r="K665" i="1"/>
  <c r="J664" i="1"/>
  <c r="K664" i="1"/>
  <c r="K662" i="1"/>
  <c r="K661" i="1"/>
  <c r="O660" i="1"/>
  <c r="P659" i="1"/>
  <c r="K658" i="1"/>
  <c r="K656" i="1"/>
  <c r="O654" i="1"/>
  <c r="K652" i="1"/>
  <c r="K649" i="1"/>
  <c r="O648" i="1"/>
  <c r="K647" i="1"/>
  <c r="K646" i="1"/>
  <c r="J643" i="1"/>
  <c r="O642" i="1"/>
  <c r="K641" i="1"/>
  <c r="P638" i="1"/>
  <c r="K638" i="1"/>
  <c r="O636" i="1"/>
  <c r="K635" i="1"/>
  <c r="K634" i="1"/>
  <c r="K632" i="1"/>
  <c r="O630" i="1"/>
  <c r="K629" i="1"/>
  <c r="H628" i="1"/>
  <c r="K626" i="1"/>
  <c r="J625" i="1"/>
  <c r="K625" i="1"/>
  <c r="O624" i="1"/>
  <c r="K623" i="1"/>
  <c r="K622" i="1"/>
  <c r="P620" i="1"/>
  <c r="K620" i="1"/>
  <c r="O618" i="1"/>
  <c r="K617" i="1"/>
  <c r="K616" i="1"/>
  <c r="K613" i="1"/>
  <c r="O612" i="1"/>
  <c r="J610" i="1"/>
  <c r="K610" i="1"/>
  <c r="K608" i="1"/>
  <c r="O606" i="1"/>
  <c r="P605" i="1"/>
  <c r="K605" i="1"/>
  <c r="K604" i="1"/>
  <c r="K602" i="1"/>
  <c r="O600" i="1"/>
  <c r="K596" i="1"/>
  <c r="H595" i="1"/>
  <c r="O594" i="1"/>
  <c r="K593" i="1"/>
  <c r="J592" i="1"/>
  <c r="K592" i="1"/>
  <c r="K590" i="1"/>
  <c r="K589" i="1"/>
  <c r="O588" i="1"/>
  <c r="P587" i="1"/>
  <c r="K587" i="1"/>
  <c r="K586" i="1"/>
  <c r="K584" i="1"/>
  <c r="O582" i="1"/>
  <c r="P581" i="1"/>
  <c r="K581" i="1"/>
  <c r="K580" i="1"/>
  <c r="K578" i="1"/>
  <c r="K577" i="1"/>
  <c r="O576" i="1"/>
  <c r="K574" i="1"/>
  <c r="J571" i="1"/>
  <c r="O570" i="1"/>
  <c r="H569" i="1"/>
  <c r="K568" i="1"/>
  <c r="P566" i="1"/>
  <c r="K566" i="1"/>
  <c r="K565" i="1"/>
  <c r="O564" i="1"/>
  <c r="K563" i="1"/>
  <c r="K560" i="1"/>
  <c r="O558" i="1"/>
  <c r="K557" i="1"/>
  <c r="K556" i="1"/>
  <c r="K554" i="1"/>
  <c r="J553" i="1"/>
  <c r="K553" i="1"/>
  <c r="O552" i="1"/>
  <c r="K551" i="1"/>
  <c r="K550" i="1"/>
  <c r="P548" i="1"/>
  <c r="K548" i="1"/>
  <c r="H547" i="1"/>
  <c r="O546" i="1"/>
  <c r="K544" i="1"/>
  <c r="P542" i="1"/>
  <c r="K542" i="1"/>
  <c r="H541" i="1"/>
  <c r="O540" i="1"/>
  <c r="K539" i="1"/>
  <c r="J538" i="1"/>
  <c r="K538" i="1"/>
  <c r="H536" i="1"/>
  <c r="O534" i="1"/>
  <c r="P533" i="1"/>
  <c r="K533" i="1"/>
  <c r="H532" i="1"/>
  <c r="K530" i="1"/>
  <c r="K529" i="1"/>
  <c r="O528" i="1"/>
  <c r="K527" i="1"/>
  <c r="K524" i="1"/>
  <c r="O522" i="1"/>
  <c r="K521" i="1"/>
  <c r="J520" i="1"/>
  <c r="K520" i="1"/>
  <c r="K518" i="1"/>
  <c r="K517" i="1"/>
  <c r="O516" i="1"/>
  <c r="P515" i="1"/>
  <c r="K515" i="1"/>
  <c r="K514" i="1"/>
  <c r="K512" i="1"/>
  <c r="O510" i="1"/>
  <c r="P509" i="1"/>
  <c r="K508" i="1"/>
  <c r="K505" i="1"/>
  <c r="O504" i="1"/>
  <c r="K503" i="1"/>
  <c r="K502" i="1"/>
  <c r="K500" i="1"/>
  <c r="J499" i="1"/>
  <c r="O498" i="1"/>
  <c r="P494" i="1"/>
  <c r="K494" i="1"/>
  <c r="O492" i="1"/>
  <c r="K491" i="1"/>
  <c r="K490" i="1"/>
  <c r="K488" i="1"/>
  <c r="O486" i="1"/>
  <c r="K485" i="1"/>
  <c r="K484" i="1"/>
  <c r="J481" i="1"/>
  <c r="K481" i="1"/>
  <c r="O480" i="1"/>
  <c r="K479" i="1"/>
  <c r="K478" i="1"/>
  <c r="P476" i="1"/>
  <c r="K476" i="1"/>
  <c r="H475" i="1"/>
  <c r="O474" i="1"/>
  <c r="K473" i="1"/>
  <c r="K472" i="1"/>
  <c r="P470" i="1"/>
  <c r="K469" i="1"/>
  <c r="O468" i="1"/>
  <c r="J466" i="1"/>
  <c r="K466" i="1"/>
  <c r="O462" i="1"/>
  <c r="P461" i="1"/>
  <c r="K461" i="1"/>
  <c r="H460" i="1"/>
  <c r="K458" i="1"/>
  <c r="O456" i="1"/>
  <c r="K455" i="1"/>
  <c r="O450" i="1"/>
  <c r="K449" i="1"/>
  <c r="J448" i="1"/>
  <c r="K448" i="1"/>
  <c r="K446" i="1"/>
  <c r="K445" i="1"/>
  <c r="O444" i="1"/>
  <c r="P443" i="1"/>
  <c r="K443" i="1"/>
  <c r="K442" i="1"/>
  <c r="K440" i="1"/>
  <c r="O438" i="1"/>
  <c r="P437" i="1"/>
  <c r="K437" i="1"/>
  <c r="K436" i="1"/>
  <c r="K434" i="1"/>
  <c r="K433" i="1"/>
  <c r="O432" i="1"/>
  <c r="H430" i="1"/>
  <c r="H428" i="1"/>
  <c r="J427" i="1"/>
  <c r="O426" i="1"/>
  <c r="K425" i="1"/>
  <c r="K424" i="1"/>
  <c r="P422" i="1"/>
  <c r="K421" i="1"/>
  <c r="O420" i="1"/>
  <c r="K419" i="1"/>
  <c r="K416" i="1"/>
  <c r="O414" i="1"/>
  <c r="K413" i="1"/>
  <c r="K412" i="1"/>
  <c r="K410" i="1"/>
  <c r="J409" i="1"/>
  <c r="O408" i="1"/>
  <c r="K407" i="1"/>
  <c r="K406" i="1"/>
  <c r="P404" i="1"/>
  <c r="K404" i="1"/>
  <c r="O402" i="1"/>
  <c r="H401" i="1"/>
  <c r="K400" i="1"/>
  <c r="P398" i="1"/>
  <c r="K398" i="1"/>
  <c r="K397" i="1"/>
  <c r="O396" i="1"/>
  <c r="J394" i="1"/>
  <c r="K394" i="1"/>
  <c r="O390" i="1"/>
  <c r="P389" i="1"/>
  <c r="K389" i="1"/>
  <c r="K386" i="1"/>
  <c r="K385" i="1"/>
  <c r="O384" i="1"/>
  <c r="H383" i="1"/>
  <c r="K382" i="1"/>
  <c r="O378" i="1"/>
  <c r="K377" i="1"/>
  <c r="J376" i="1"/>
  <c r="K376" i="1"/>
  <c r="K374" i="1"/>
  <c r="K373" i="1"/>
  <c r="O372" i="1"/>
  <c r="P371" i="1"/>
  <c r="K371" i="1"/>
  <c r="K370" i="1"/>
  <c r="K368" i="1"/>
  <c r="O366" i="1"/>
  <c r="P365" i="1"/>
  <c r="K364" i="1"/>
  <c r="K361" i="1"/>
  <c r="O360" i="1"/>
  <c r="K359" i="1"/>
  <c r="H358" i="1"/>
  <c r="K356" i="1"/>
  <c r="J355" i="1"/>
  <c r="O354" i="1"/>
  <c r="K353" i="1"/>
  <c r="P350" i="1"/>
  <c r="H350" i="1"/>
  <c r="O348" i="1"/>
  <c r="K347" i="1"/>
  <c r="K346" i="1"/>
  <c r="K344" i="1"/>
  <c r="O342" i="1"/>
  <c r="K341" i="1"/>
  <c r="K340" i="1"/>
  <c r="K338" i="1"/>
  <c r="J337" i="1"/>
  <c r="K337" i="1"/>
  <c r="O336" i="1"/>
  <c r="K335" i="1"/>
  <c r="K334" i="1"/>
  <c r="P332" i="1"/>
  <c r="K332" i="1"/>
  <c r="O330" i="1"/>
  <c r="K329" i="1"/>
  <c r="K328" i="1"/>
  <c r="P326" i="1"/>
  <c r="K325" i="1"/>
  <c r="O324" i="1"/>
  <c r="J322" i="1"/>
  <c r="H322" i="1"/>
  <c r="K320" i="1"/>
  <c r="H319" i="1"/>
  <c r="O318" i="1"/>
  <c r="P317" i="1"/>
  <c r="K317" i="1"/>
  <c r="K316" i="1"/>
  <c r="K314" i="1"/>
  <c r="O312" i="1"/>
  <c r="P311" i="1"/>
  <c r="K311" i="1"/>
  <c r="K308" i="1"/>
  <c r="O306" i="1"/>
  <c r="J304" i="1"/>
  <c r="K304" i="1"/>
  <c r="K302" i="1"/>
  <c r="K301" i="1"/>
  <c r="O300" i="1"/>
  <c r="P299" i="1"/>
  <c r="K299" i="1"/>
  <c r="K298" i="1"/>
  <c r="K296" i="1"/>
  <c r="O294" i="1"/>
  <c r="P293" i="1"/>
  <c r="K293" i="1"/>
  <c r="K290" i="1"/>
  <c r="K289" i="1"/>
  <c r="O288" i="1"/>
  <c r="H287" i="1"/>
  <c r="K286" i="1"/>
  <c r="O282" i="1"/>
  <c r="K281" i="1"/>
  <c r="J280" i="1"/>
  <c r="K280" i="1"/>
  <c r="K278" i="1"/>
  <c r="J277" i="1"/>
  <c r="O276" i="1"/>
  <c r="P275" i="1"/>
  <c r="H275" i="1"/>
  <c r="P272" i="1"/>
  <c r="K272" i="1"/>
  <c r="O270" i="1"/>
  <c r="J268" i="1"/>
  <c r="K268" i="1"/>
  <c r="K266" i="1"/>
  <c r="K265" i="1"/>
  <c r="O264" i="1"/>
  <c r="P263" i="1"/>
  <c r="K262" i="1"/>
  <c r="K260" i="1"/>
  <c r="O258" i="1"/>
  <c r="K256" i="1"/>
  <c r="P254" i="1"/>
  <c r="K254" i="1"/>
  <c r="K253" i="1"/>
  <c r="O252" i="1"/>
  <c r="K251" i="1"/>
  <c r="K250" i="1"/>
  <c r="O246" i="1"/>
  <c r="K245" i="1"/>
  <c r="K242" i="1"/>
  <c r="J241" i="1"/>
  <c r="O240" i="1"/>
  <c r="K239" i="1"/>
  <c r="K238" i="1"/>
  <c r="P236" i="1"/>
  <c r="K236" i="1"/>
  <c r="J235" i="1"/>
  <c r="O234" i="1"/>
  <c r="K232" i="1"/>
  <c r="P230" i="1"/>
  <c r="K230" i="1"/>
  <c r="J229" i="1"/>
  <c r="K229" i="1"/>
  <c r="O228" i="1"/>
  <c r="K226" i="1"/>
  <c r="P224" i="1"/>
  <c r="O222" i="1"/>
  <c r="J220" i="1"/>
  <c r="K217" i="1"/>
  <c r="O216" i="1"/>
  <c r="P215" i="1"/>
  <c r="K215" i="1"/>
  <c r="K214" i="1"/>
  <c r="K212" i="1"/>
  <c r="H211" i="1"/>
  <c r="O210" i="1"/>
  <c r="P209" i="1"/>
  <c r="K209" i="1"/>
  <c r="J208" i="1"/>
  <c r="K206" i="1"/>
  <c r="O204" i="1"/>
  <c r="P203" i="1"/>
  <c r="K202" i="1"/>
  <c r="P200" i="1"/>
  <c r="K200" i="1"/>
  <c r="H199" i="1"/>
  <c r="O198" i="1"/>
  <c r="K196" i="1"/>
  <c r="H194" i="1"/>
  <c r="O192" i="1"/>
  <c r="K191" i="1"/>
  <c r="P188" i="1"/>
  <c r="K188" i="1"/>
  <c r="J187" i="1"/>
  <c r="O186" i="1"/>
  <c r="P182" i="1"/>
  <c r="J181" i="1"/>
  <c r="K181" i="1"/>
  <c r="O180" i="1"/>
  <c r="P179" i="1"/>
  <c r="J178" i="1"/>
  <c r="K176" i="1"/>
  <c r="O174" i="1"/>
  <c r="K173" i="1"/>
  <c r="K172" i="1"/>
  <c r="J169" i="1"/>
  <c r="O168" i="1"/>
  <c r="P167" i="1"/>
  <c r="K167" i="1"/>
  <c r="J166" i="1"/>
  <c r="H166" i="1"/>
  <c r="P164" i="1"/>
  <c r="K164" i="1"/>
  <c r="O162" i="1"/>
  <c r="K161" i="1"/>
  <c r="K160" i="1"/>
  <c r="K158" i="1"/>
  <c r="J157" i="1"/>
  <c r="H157" i="1"/>
  <c r="O156" i="1"/>
  <c r="H154" i="1"/>
  <c r="P152" i="1"/>
  <c r="K152" i="1"/>
  <c r="O150" i="1"/>
  <c r="K148" i="1"/>
  <c r="P146" i="1"/>
  <c r="K145" i="1"/>
  <c r="O144" i="1"/>
  <c r="K142" i="1"/>
  <c r="P140" i="1"/>
  <c r="O138" i="1"/>
  <c r="H137" i="1"/>
  <c r="J136" i="1"/>
  <c r="K136" i="1"/>
  <c r="K133" i="1"/>
  <c r="O132" i="1"/>
  <c r="P131" i="1"/>
  <c r="J130" i="1"/>
  <c r="P128" i="1"/>
  <c r="K128" i="1"/>
  <c r="H127" i="1"/>
  <c r="O126" i="1"/>
  <c r="P125" i="1"/>
  <c r="J124" i="1"/>
  <c r="K122" i="1"/>
  <c r="O120" i="1"/>
  <c r="P119" i="1"/>
  <c r="K119" i="1"/>
  <c r="K118" i="1"/>
  <c r="K116" i="1"/>
  <c r="O114" i="1"/>
  <c r="K112" i="1"/>
  <c r="J109" i="1"/>
  <c r="K109" i="1"/>
  <c r="O108" i="1"/>
  <c r="P104" i="1"/>
  <c r="J103" i="1"/>
  <c r="O102" i="1"/>
  <c r="H101" i="1"/>
  <c r="P98" i="1"/>
  <c r="K98" i="1"/>
  <c r="J97" i="1"/>
  <c r="K97" i="1"/>
  <c r="O96" i="1"/>
  <c r="P95" i="1"/>
  <c r="J94" i="1"/>
  <c r="K94" i="1"/>
  <c r="P92" i="1"/>
  <c r="O90" i="1"/>
  <c r="K89" i="1"/>
  <c r="K88" i="1"/>
  <c r="K86" i="1"/>
  <c r="H85" i="1"/>
  <c r="O84" i="1"/>
  <c r="J82" i="1"/>
  <c r="K80" i="1"/>
  <c r="H79" i="1"/>
  <c r="O78" i="1"/>
  <c r="P77" i="1"/>
  <c r="J76" i="1"/>
  <c r="K73" i="1"/>
  <c r="O72" i="1"/>
  <c r="P71" i="1"/>
  <c r="K71" i="1"/>
  <c r="K70" i="1"/>
  <c r="O66" i="1"/>
  <c r="K65" i="1"/>
  <c r="J64" i="1"/>
  <c r="J61" i="1"/>
  <c r="O60" i="1"/>
  <c r="P59" i="1"/>
  <c r="K58" i="1"/>
  <c r="P56" i="1"/>
  <c r="O54" i="1"/>
  <c r="P53" i="1"/>
  <c r="H53" i="1"/>
  <c r="K52" i="1"/>
  <c r="P51" i="1"/>
  <c r="P50" i="1"/>
  <c r="P49" i="1"/>
  <c r="K49" i="1"/>
  <c r="K48" i="1"/>
  <c r="P47" i="1"/>
  <c r="J46" i="1"/>
  <c r="H46" i="1"/>
  <c r="P45" i="1"/>
  <c r="K44" i="1"/>
  <c r="P43" i="1"/>
  <c r="J43" i="1"/>
  <c r="P41" i="1"/>
  <c r="H41" i="1"/>
  <c r="K40" i="1"/>
  <c r="P39" i="1"/>
  <c r="P37" i="1"/>
  <c r="K37" i="1"/>
  <c r="P35" i="1"/>
  <c r="J35" i="1"/>
  <c r="J34" i="1"/>
  <c r="P33" i="1"/>
  <c r="P32" i="1"/>
  <c r="H32" i="1"/>
  <c r="P31" i="1"/>
  <c r="H31" i="1"/>
  <c r="O30" i="1"/>
  <c r="P29" i="1"/>
  <c r="H28" i="1"/>
  <c r="P27" i="1"/>
  <c r="P26" i="1"/>
  <c r="P25" i="1"/>
  <c r="K24" i="1"/>
  <c r="P23" i="1"/>
  <c r="J22" i="1"/>
  <c r="P21" i="1"/>
  <c r="P19" i="1"/>
  <c r="P17" i="1"/>
  <c r="K17" i="1"/>
  <c r="K16" i="1"/>
  <c r="P15" i="1"/>
  <c r="P14" i="1"/>
  <c r="P13" i="1"/>
  <c r="J13" i="1"/>
  <c r="K13" i="1"/>
  <c r="P11" i="1"/>
  <c r="J11" i="1"/>
  <c r="K10" i="1"/>
  <c r="P9" i="1"/>
  <c r="P8" i="1"/>
  <c r="K8" i="1"/>
  <c r="P7" i="1"/>
  <c r="O6" i="1"/>
  <c r="P5" i="1"/>
  <c r="J5" i="1"/>
  <c r="H4" i="1"/>
  <c r="P2" i="1"/>
  <c r="K2" i="1"/>
  <c r="H1703" i="1"/>
  <c r="L1703" i="1"/>
  <c r="O1703" i="1"/>
  <c r="H1704" i="1"/>
  <c r="K1704" i="1"/>
  <c r="L1704" i="1"/>
  <c r="M1704" i="1"/>
  <c r="O1704" i="1"/>
  <c r="P1704" i="1"/>
  <c r="H1705" i="1"/>
  <c r="L1705" i="1"/>
  <c r="O1705" i="1"/>
  <c r="P1705" i="1"/>
  <c r="J1706" i="1"/>
  <c r="L1706" i="1"/>
  <c r="M1706" i="1"/>
  <c r="O1706" i="1"/>
  <c r="H1707" i="1"/>
  <c r="L1707" i="1"/>
  <c r="M1707" i="1"/>
  <c r="O1707" i="1"/>
  <c r="P1707" i="1"/>
  <c r="K1708" i="1"/>
  <c r="L1708" i="1"/>
  <c r="O1708" i="1"/>
  <c r="P1708" i="1"/>
  <c r="K1709" i="1"/>
  <c r="L1709" i="1"/>
  <c r="M1709" i="1"/>
  <c r="O1709" i="1"/>
  <c r="H1710" i="1"/>
  <c r="L1710" i="1"/>
  <c r="M1710" i="1"/>
  <c r="O1710" i="1"/>
  <c r="J1711" i="1"/>
  <c r="L1711" i="1"/>
  <c r="M1711" i="1"/>
  <c r="O1711" i="1"/>
  <c r="J1712" i="1"/>
  <c r="L1712" i="1"/>
  <c r="M1712" i="1"/>
  <c r="O1712" i="1"/>
  <c r="H1713" i="1"/>
  <c r="K1713" i="1"/>
  <c r="L1713" i="1"/>
  <c r="M1713" i="1"/>
  <c r="P1713" i="1"/>
  <c r="H1714" i="1"/>
  <c r="J1714" i="1"/>
  <c r="L1714" i="1"/>
  <c r="M1714" i="1"/>
  <c r="O1714" i="1"/>
  <c r="P1714" i="1"/>
  <c r="L1715" i="1"/>
  <c r="M1715" i="1"/>
  <c r="O1715" i="1"/>
  <c r="K1716" i="1"/>
  <c r="L1716" i="1"/>
  <c r="M1716" i="1"/>
  <c r="P1716" i="1"/>
  <c r="H1717" i="1"/>
  <c r="J1717" i="1"/>
  <c r="L1717" i="1"/>
  <c r="O1717" i="1"/>
  <c r="J1718" i="1"/>
  <c r="L1718" i="1"/>
  <c r="O1718" i="1"/>
  <c r="H1719" i="1"/>
  <c r="K1719" i="1"/>
  <c r="L1719" i="1"/>
  <c r="M1719" i="1"/>
  <c r="O1719" i="1"/>
  <c r="P1719" i="1"/>
  <c r="L1720" i="1"/>
  <c r="M1720" i="1"/>
  <c r="O1720" i="1"/>
  <c r="P1720" i="1"/>
  <c r="J1721" i="1"/>
  <c r="L1721" i="1"/>
  <c r="M1721" i="1"/>
  <c r="O1721" i="1"/>
  <c r="P1721" i="1"/>
  <c r="H1722" i="1"/>
  <c r="L1722" i="1"/>
  <c r="M1722" i="1"/>
  <c r="O1722" i="1"/>
  <c r="L1723" i="1"/>
  <c r="M1723" i="1"/>
  <c r="O1723" i="1"/>
  <c r="P1723" i="1"/>
  <c r="L1724" i="1"/>
  <c r="M1724" i="1"/>
  <c r="O1724" i="1"/>
  <c r="H1725" i="1"/>
  <c r="K1725" i="1"/>
  <c r="L1725" i="1"/>
  <c r="M1725" i="1"/>
  <c r="L1726" i="1"/>
  <c r="O1726" i="1"/>
  <c r="P1726" i="1"/>
  <c r="J1727" i="1"/>
  <c r="L1727" i="1"/>
  <c r="M1727" i="1"/>
  <c r="O1727" i="1"/>
  <c r="H1728" i="1"/>
  <c r="L1728" i="1"/>
  <c r="O1728" i="1"/>
  <c r="P1728" i="1"/>
  <c r="J1729" i="1"/>
  <c r="L1729" i="1"/>
  <c r="O1729" i="1"/>
  <c r="J1730" i="1"/>
  <c r="L1730" i="1"/>
  <c r="M1730" i="1"/>
  <c r="O1730" i="1"/>
  <c r="P1730" i="1"/>
  <c r="H1731" i="1"/>
  <c r="K1731" i="1"/>
  <c r="L1731" i="1"/>
  <c r="M1731" i="1"/>
  <c r="H1732" i="1"/>
  <c r="J1732" i="1"/>
  <c r="L1732" i="1"/>
  <c r="M1732" i="1"/>
  <c r="O1732" i="1"/>
  <c r="P1732" i="1"/>
  <c r="L1733" i="1"/>
  <c r="M1733" i="1"/>
  <c r="O1733" i="1"/>
  <c r="H1734" i="1"/>
  <c r="K1734" i="1"/>
  <c r="L1734" i="1"/>
  <c r="M1734" i="1"/>
  <c r="P1734" i="1"/>
  <c r="H1735" i="1"/>
  <c r="L1735" i="1"/>
  <c r="M1735" i="1"/>
  <c r="O1735" i="1"/>
  <c r="P1735" i="1"/>
  <c r="L1736" i="1"/>
  <c r="M1736" i="1"/>
  <c r="O1736" i="1"/>
  <c r="K1737" i="1"/>
  <c r="L1737" i="1"/>
  <c r="M1737" i="1"/>
  <c r="O1737" i="1"/>
  <c r="P1737" i="1"/>
  <c r="L1738" i="1"/>
  <c r="M1738" i="1"/>
  <c r="O1738" i="1"/>
  <c r="J1739" i="1"/>
  <c r="L1739" i="1"/>
  <c r="M1739" i="1"/>
  <c r="O1739" i="1"/>
  <c r="H1740" i="1"/>
  <c r="K1740" i="1"/>
  <c r="L1740" i="1"/>
  <c r="M1740" i="1"/>
  <c r="O1740" i="1"/>
  <c r="H1741" i="1"/>
  <c r="J1741" i="1"/>
  <c r="L1741" i="1"/>
  <c r="M1741" i="1"/>
  <c r="O1741" i="1"/>
  <c r="P1741" i="1"/>
  <c r="J1742" i="1"/>
  <c r="L1742" i="1"/>
  <c r="M1742" i="1"/>
  <c r="O1742" i="1"/>
  <c r="H1743" i="1"/>
  <c r="K1743" i="1"/>
  <c r="L1743" i="1"/>
  <c r="M1743" i="1"/>
  <c r="P1743" i="1"/>
  <c r="K1744" i="1"/>
  <c r="L1744" i="1"/>
  <c r="O1744" i="1"/>
  <c r="P1744" i="1"/>
  <c r="J1745" i="1"/>
  <c r="L1745" i="1"/>
  <c r="M1745" i="1"/>
  <c r="O1745" i="1"/>
  <c r="H1746" i="1"/>
  <c r="L1746" i="1"/>
  <c r="M1746" i="1"/>
  <c r="O1746" i="1"/>
  <c r="K1747" i="1"/>
  <c r="L1747" i="1"/>
  <c r="M1747" i="1"/>
  <c r="O1747" i="1"/>
  <c r="J1748" i="1"/>
  <c r="K1748" i="1"/>
  <c r="L1748" i="1"/>
  <c r="M1748" i="1"/>
  <c r="O1748" i="1"/>
  <c r="H1749" i="1"/>
  <c r="K1749" i="1"/>
  <c r="L1749" i="1"/>
  <c r="M1749" i="1"/>
  <c r="O1749" i="1"/>
  <c r="P1749" i="1"/>
  <c r="K1750" i="1"/>
  <c r="L1750" i="1"/>
  <c r="O1750" i="1"/>
  <c r="P1750" i="1"/>
  <c r="L1751" i="1"/>
  <c r="O1751" i="1"/>
  <c r="H1752" i="1"/>
  <c r="K1752" i="1"/>
  <c r="L1752" i="1"/>
  <c r="M1752" i="1"/>
  <c r="P1752" i="1"/>
  <c r="L1753" i="1"/>
  <c r="O1753" i="1"/>
  <c r="J1754" i="1"/>
  <c r="L1754" i="1"/>
  <c r="M1754" i="1"/>
  <c r="O1754" i="1"/>
  <c r="H1755" i="1"/>
  <c r="K1755" i="1"/>
  <c r="L1755" i="1"/>
  <c r="M1755" i="1"/>
  <c r="O1755" i="1"/>
  <c r="P1755" i="1"/>
  <c r="J1756" i="1"/>
  <c r="L1756" i="1"/>
  <c r="M1756" i="1"/>
  <c r="O1756" i="1"/>
  <c r="P1756" i="1"/>
  <c r="J1757" i="1"/>
  <c r="K1757" i="1"/>
  <c r="L1757" i="1"/>
  <c r="M1757" i="1"/>
  <c r="O1757" i="1"/>
  <c r="H1758" i="1"/>
  <c r="L1758" i="1"/>
  <c r="M1758" i="1"/>
  <c r="P1758" i="1"/>
  <c r="H1759" i="1"/>
  <c r="J1759" i="1"/>
  <c r="L1759" i="1"/>
  <c r="M1759" i="1"/>
  <c r="O1759" i="1"/>
  <c r="P1759" i="1"/>
  <c r="J1760" i="1"/>
  <c r="L1760" i="1"/>
  <c r="M1760" i="1"/>
  <c r="O1760" i="1"/>
  <c r="H1761" i="1"/>
  <c r="K1761" i="1"/>
  <c r="L1761" i="1"/>
  <c r="M1761" i="1"/>
  <c r="P1761" i="1"/>
  <c r="J1762" i="1"/>
  <c r="L1762" i="1"/>
  <c r="O1762" i="1"/>
  <c r="P1762" i="1"/>
  <c r="J1763" i="1"/>
  <c r="L1763" i="1"/>
  <c r="O1763" i="1"/>
  <c r="H1764" i="1"/>
  <c r="L1764" i="1"/>
  <c r="M1764" i="1"/>
  <c r="P1764" i="1"/>
  <c r="L1765" i="1"/>
  <c r="O1765" i="1"/>
  <c r="J1766" i="1"/>
  <c r="L1766" i="1"/>
  <c r="M1766" i="1"/>
  <c r="O1766" i="1"/>
  <c r="L1767" i="1"/>
  <c r="M1767" i="1"/>
  <c r="O1767" i="1"/>
  <c r="P1767" i="1"/>
  <c r="K1768" i="1"/>
  <c r="L1768" i="1"/>
  <c r="M1768" i="1"/>
  <c r="O1768" i="1"/>
  <c r="L1769" i="1"/>
  <c r="O1769" i="1"/>
  <c r="H1770" i="1"/>
  <c r="K1770" i="1"/>
  <c r="L1770" i="1"/>
  <c r="K1771" i="1"/>
  <c r="L1771" i="1"/>
  <c r="O1771" i="1"/>
  <c r="P1771" i="1"/>
  <c r="J1772" i="1"/>
  <c r="L1772" i="1"/>
  <c r="M1772" i="1"/>
  <c r="O1772" i="1"/>
  <c r="H1773" i="1"/>
  <c r="K1773" i="1"/>
  <c r="L1773" i="1"/>
  <c r="M1773" i="1"/>
  <c r="O1773" i="1"/>
  <c r="J1774" i="1"/>
  <c r="K1774" i="1"/>
  <c r="L1774" i="1"/>
  <c r="O1774" i="1"/>
  <c r="P1774" i="1"/>
  <c r="L1775" i="1"/>
  <c r="O1775" i="1"/>
  <c r="H1776" i="1"/>
  <c r="K1776" i="1"/>
  <c r="L1776" i="1"/>
  <c r="M1776" i="1"/>
  <c r="O1776" i="1"/>
  <c r="P1776" i="1"/>
  <c r="J1777" i="1"/>
  <c r="L1777" i="1"/>
  <c r="O1777" i="1"/>
  <c r="P1777" i="1"/>
  <c r="J1778" i="1"/>
  <c r="L1778" i="1"/>
  <c r="M1778" i="1"/>
  <c r="O1778" i="1"/>
  <c r="H1779" i="1"/>
  <c r="K1779" i="1"/>
  <c r="L1779" i="1"/>
  <c r="M1779" i="1"/>
  <c r="O1779" i="1"/>
  <c r="P1779" i="1"/>
  <c r="L1780" i="1"/>
  <c r="O1780" i="1"/>
  <c r="P1780" i="1"/>
  <c r="L1781" i="1"/>
  <c r="O1781" i="1"/>
  <c r="H1782" i="1"/>
  <c r="L1782" i="1"/>
  <c r="M1782" i="1"/>
  <c r="O1782" i="1"/>
  <c r="H1783" i="1"/>
  <c r="L1783" i="1"/>
  <c r="O1783" i="1"/>
  <c r="J1784" i="1"/>
  <c r="L1784" i="1"/>
  <c r="M1784" i="1"/>
  <c r="O1784" i="1"/>
  <c r="H1785" i="1"/>
  <c r="K1785" i="1"/>
  <c r="L1785" i="1"/>
  <c r="M1785" i="1"/>
  <c r="P1785" i="1"/>
  <c r="L1786" i="1"/>
  <c r="M1786" i="1"/>
  <c r="O1786" i="1"/>
  <c r="P1786" i="1"/>
  <c r="L1787" i="1"/>
  <c r="M1787" i="1"/>
  <c r="O1787" i="1"/>
  <c r="K1788" i="1"/>
  <c r="L1788" i="1"/>
  <c r="M1788" i="1"/>
  <c r="P1788" i="1"/>
  <c r="H1789" i="1"/>
  <c r="J1789" i="1"/>
  <c r="L1789" i="1"/>
  <c r="O1789" i="1"/>
  <c r="J1790" i="1"/>
  <c r="L1790" i="1"/>
  <c r="M1790" i="1"/>
  <c r="O1790" i="1"/>
  <c r="H1791" i="1"/>
  <c r="K1791" i="1"/>
  <c r="L1791" i="1"/>
  <c r="M1791" i="1"/>
  <c r="O1791" i="1"/>
  <c r="P1791" i="1"/>
  <c r="J1792" i="1"/>
  <c r="K1792" i="1"/>
  <c r="L1792" i="1"/>
  <c r="O1792" i="1"/>
  <c r="P1792" i="1"/>
  <c r="L1793" i="1"/>
  <c r="M1793" i="1"/>
  <c r="O1793" i="1"/>
  <c r="H1794" i="1"/>
  <c r="K1794" i="1"/>
  <c r="L1794" i="1"/>
  <c r="M1794" i="1"/>
  <c r="O1794" i="1"/>
  <c r="L1795" i="1"/>
  <c r="M1795" i="1"/>
  <c r="O1795" i="1"/>
  <c r="P1795" i="1"/>
  <c r="J1796" i="1"/>
  <c r="L1796" i="1"/>
  <c r="M1796" i="1"/>
  <c r="O1796" i="1"/>
  <c r="K1797" i="1"/>
  <c r="L1797" i="1"/>
  <c r="M1797" i="1"/>
  <c r="P1797" i="1"/>
  <c r="H1798" i="1"/>
  <c r="L1798" i="1"/>
  <c r="O1798" i="1"/>
  <c r="J1799" i="1"/>
  <c r="L1799" i="1"/>
  <c r="O1799" i="1"/>
  <c r="P1799" i="1"/>
  <c r="H1800" i="1"/>
  <c r="L1800" i="1"/>
  <c r="P1800" i="1"/>
  <c r="L1801" i="1"/>
  <c r="M1801" i="1"/>
  <c r="O1801" i="1"/>
  <c r="P1801" i="1"/>
  <c r="J1802" i="1"/>
  <c r="L1802" i="1"/>
  <c r="M1802" i="1"/>
  <c r="O1802" i="1"/>
  <c r="H1803" i="1"/>
  <c r="J1803" i="1"/>
  <c r="L1803" i="1"/>
  <c r="M1803" i="1"/>
  <c r="O1803" i="1"/>
  <c r="H1804" i="1"/>
  <c r="L1804" i="1"/>
  <c r="M1804" i="1"/>
  <c r="O1804" i="1"/>
  <c r="P1804" i="1"/>
  <c r="L1805" i="1"/>
  <c r="M1805" i="1"/>
  <c r="O1805" i="1"/>
  <c r="P1805" i="1"/>
  <c r="H1806" i="1"/>
  <c r="J1806" i="1"/>
  <c r="L1806" i="1"/>
  <c r="M1806" i="1"/>
  <c r="P1806" i="1"/>
  <c r="L1807" i="1"/>
  <c r="O1807" i="1"/>
  <c r="P1807" i="1"/>
  <c r="J1808" i="1"/>
  <c r="L1808" i="1"/>
  <c r="M1808" i="1"/>
  <c r="O1808" i="1"/>
  <c r="P1808" i="1"/>
  <c r="H1809" i="1"/>
  <c r="J1809" i="1"/>
  <c r="L1809" i="1"/>
  <c r="M1809" i="1"/>
  <c r="O1809" i="1"/>
  <c r="H1810" i="1"/>
  <c r="K1810" i="1"/>
  <c r="L1810" i="1"/>
  <c r="O1810" i="1"/>
  <c r="J1811" i="1"/>
  <c r="L1811" i="1"/>
  <c r="M1811" i="1"/>
  <c r="O1811" i="1"/>
  <c r="H1812" i="1"/>
  <c r="J1812" i="1"/>
  <c r="L1812" i="1"/>
  <c r="O1812" i="1"/>
  <c r="P1812" i="1"/>
  <c r="J1813" i="1"/>
  <c r="L1813" i="1"/>
  <c r="O1813" i="1"/>
  <c r="P1813" i="1"/>
  <c r="L1814" i="1"/>
  <c r="O1814" i="1"/>
  <c r="P1814" i="1"/>
  <c r="H1815" i="1"/>
  <c r="J1815" i="1"/>
  <c r="L1815" i="1"/>
  <c r="M1815" i="1"/>
  <c r="O1815" i="1"/>
  <c r="L1816" i="1"/>
  <c r="M1816" i="1"/>
  <c r="O1816" i="1"/>
  <c r="P1816" i="1"/>
  <c r="J1817" i="1"/>
  <c r="L1817" i="1"/>
  <c r="O1817" i="1"/>
  <c r="H1818" i="1"/>
  <c r="J1818" i="1"/>
  <c r="L1818" i="1"/>
  <c r="M1818" i="1"/>
  <c r="O1818" i="1"/>
  <c r="P1818" i="1"/>
  <c r="J1819" i="1"/>
  <c r="L1819" i="1"/>
  <c r="M1819" i="1"/>
  <c r="O1819" i="1"/>
  <c r="P1819" i="1"/>
  <c r="L1820" i="1"/>
  <c r="M1820" i="1"/>
  <c r="O1820" i="1"/>
  <c r="H1821" i="1"/>
  <c r="J1821" i="1"/>
  <c r="L1821" i="1"/>
  <c r="M1821" i="1"/>
  <c r="O1821" i="1"/>
  <c r="H1822" i="1"/>
  <c r="K1822" i="1"/>
  <c r="L1822" i="1"/>
  <c r="O1822" i="1"/>
  <c r="P1822" i="1"/>
  <c r="J1823" i="1"/>
  <c r="L1823" i="1"/>
  <c r="O1823" i="1"/>
  <c r="H1824" i="1"/>
  <c r="J1824" i="1"/>
  <c r="L1824" i="1"/>
  <c r="M1824" i="1"/>
  <c r="P1824" i="1"/>
  <c r="J1825" i="1"/>
  <c r="K1825" i="1"/>
  <c r="L1825" i="1"/>
  <c r="O1825" i="1"/>
  <c r="J1826" i="1"/>
  <c r="K1826" i="1"/>
  <c r="L1826" i="1"/>
  <c r="M1826" i="1"/>
  <c r="O1826" i="1"/>
  <c r="P1826" i="1"/>
  <c r="J1827" i="1"/>
  <c r="L1827" i="1"/>
  <c r="M1827" i="1"/>
  <c r="O1827" i="1"/>
  <c r="P1827" i="1"/>
  <c r="H1828" i="1"/>
  <c r="J1828" i="1"/>
  <c r="K1828" i="1"/>
  <c r="L1828" i="1"/>
  <c r="M1828" i="1"/>
  <c r="O1828" i="1"/>
  <c r="P1828" i="1"/>
  <c r="J1829" i="1"/>
  <c r="L1829" i="1"/>
  <c r="O1829" i="1"/>
  <c r="P1829" i="1"/>
  <c r="H1830" i="1"/>
  <c r="L1830" i="1"/>
  <c r="M1830" i="1"/>
  <c r="O1830" i="1"/>
  <c r="P1830" i="1"/>
  <c r="L1831" i="1"/>
  <c r="O1831" i="1"/>
  <c r="P1831" i="1"/>
  <c r="J1832" i="1"/>
  <c r="K1832" i="1"/>
  <c r="L1832" i="1"/>
  <c r="O1832" i="1"/>
  <c r="P1832" i="1"/>
  <c r="H1833" i="1"/>
  <c r="J1833" i="1"/>
  <c r="L1833" i="1"/>
  <c r="M1833" i="1"/>
  <c r="P1833" i="1"/>
  <c r="H1834" i="1"/>
  <c r="K1834" i="1"/>
  <c r="L1834" i="1"/>
  <c r="M1834" i="1"/>
  <c r="O1834" i="1"/>
  <c r="J1835" i="1"/>
  <c r="K1835" i="1"/>
  <c r="L1835" i="1"/>
  <c r="O1835" i="1"/>
  <c r="H1836" i="1"/>
  <c r="J1836" i="1"/>
  <c r="L1836" i="1"/>
  <c r="O1836" i="1"/>
  <c r="H1837" i="1"/>
  <c r="L1837" i="1"/>
  <c r="O1837" i="1"/>
  <c r="P1837" i="1"/>
  <c r="J1838" i="1"/>
  <c r="L1838" i="1"/>
  <c r="M1838" i="1"/>
  <c r="O1838" i="1"/>
  <c r="H1839" i="1"/>
  <c r="J1839" i="1"/>
  <c r="L1839" i="1"/>
  <c r="M1839" i="1"/>
  <c r="O1839" i="1"/>
  <c r="P1839" i="1"/>
  <c r="J1840" i="1"/>
  <c r="L1840" i="1"/>
  <c r="O1840" i="1"/>
  <c r="L1841" i="1"/>
  <c r="M1841" i="1"/>
  <c r="O1841" i="1"/>
  <c r="H1842" i="1"/>
  <c r="J1842" i="1"/>
  <c r="L1842" i="1"/>
  <c r="M1842" i="1"/>
  <c r="J1843" i="1"/>
  <c r="L1843" i="1"/>
  <c r="M1843" i="1"/>
  <c r="O1843" i="1"/>
  <c r="P1843" i="1"/>
  <c r="H1844" i="1"/>
  <c r="J1844" i="1"/>
  <c r="L1844" i="1"/>
  <c r="M1844" i="1"/>
  <c r="O1844" i="1"/>
  <c r="H1845" i="1"/>
  <c r="J1845" i="1"/>
  <c r="L1845" i="1"/>
  <c r="M1845" i="1"/>
  <c r="O1845" i="1"/>
  <c r="L1846" i="1"/>
  <c r="M1846" i="1"/>
  <c r="O1846" i="1"/>
  <c r="P1846" i="1"/>
  <c r="J1847" i="1"/>
  <c r="K1847" i="1"/>
  <c r="L1847" i="1"/>
  <c r="M1847" i="1"/>
  <c r="O1847" i="1"/>
  <c r="J1848" i="1"/>
  <c r="L1848" i="1"/>
  <c r="M1848" i="1"/>
  <c r="O1848" i="1"/>
  <c r="P1848" i="1"/>
  <c r="K1849" i="1"/>
  <c r="L1849" i="1"/>
  <c r="M1849" i="1"/>
  <c r="O1849" i="1"/>
  <c r="P1849" i="1"/>
  <c r="J1850" i="1"/>
  <c r="L1850" i="1"/>
  <c r="O1850" i="1"/>
  <c r="P1850" i="1"/>
  <c r="J1851" i="1"/>
  <c r="L1851" i="1"/>
  <c r="M1851" i="1"/>
  <c r="P1851" i="1"/>
  <c r="L1852" i="1"/>
  <c r="M1852" i="1"/>
  <c r="O1852" i="1"/>
  <c r="P1852" i="1"/>
  <c r="J1853" i="1"/>
  <c r="L1853" i="1"/>
  <c r="O1853" i="1"/>
  <c r="H1854" i="1"/>
  <c r="J1854" i="1"/>
  <c r="L1854" i="1"/>
  <c r="O1854" i="1"/>
  <c r="P1854" i="1"/>
  <c r="L1855" i="1"/>
  <c r="M1855" i="1"/>
  <c r="O1855" i="1"/>
  <c r="P1855" i="1"/>
  <c r="L1856" i="1"/>
  <c r="M1856" i="1"/>
  <c r="O1856" i="1"/>
  <c r="H1857" i="1"/>
  <c r="J1857" i="1"/>
  <c r="L1857" i="1"/>
  <c r="M1857" i="1"/>
  <c r="P1857" i="1"/>
  <c r="H1858" i="1"/>
  <c r="L1858" i="1"/>
  <c r="M1858" i="1"/>
  <c r="O1858" i="1"/>
  <c r="P1858" i="1"/>
  <c r="J1859" i="1"/>
  <c r="L1859" i="1"/>
  <c r="M1859" i="1"/>
  <c r="O1859" i="1"/>
  <c r="H1860" i="1"/>
  <c r="J1860" i="1"/>
  <c r="L1860" i="1"/>
  <c r="O1860" i="1"/>
  <c r="P1860" i="1"/>
  <c r="L1861" i="1"/>
  <c r="O1861" i="1"/>
  <c r="P1861" i="1"/>
  <c r="H1862" i="1"/>
  <c r="J1862" i="1"/>
  <c r="L1862" i="1"/>
  <c r="M1862" i="1"/>
  <c r="O1862" i="1"/>
  <c r="J1863" i="1"/>
  <c r="L1863" i="1"/>
  <c r="M1863" i="1"/>
  <c r="O1863" i="1"/>
  <c r="P1863" i="1"/>
  <c r="H1864" i="1"/>
  <c r="K1864" i="1"/>
  <c r="L1864" i="1"/>
  <c r="O1864" i="1"/>
  <c r="P1864" i="1"/>
  <c r="J1865" i="1"/>
  <c r="L1865" i="1"/>
  <c r="O1865" i="1"/>
  <c r="P1865" i="1"/>
  <c r="L1866" i="1"/>
  <c r="M1866" i="1"/>
  <c r="O1866" i="1"/>
  <c r="P1866" i="1"/>
  <c r="L1867" i="1"/>
  <c r="M1867" i="1"/>
  <c r="O1867" i="1"/>
  <c r="P1867" i="1"/>
  <c r="J1868" i="1"/>
  <c r="K1868" i="1"/>
  <c r="L1868" i="1"/>
  <c r="M1868" i="1"/>
  <c r="O1868" i="1"/>
  <c r="P1868" i="1"/>
  <c r="H1869" i="1"/>
  <c r="J1869" i="1"/>
  <c r="L1869" i="1"/>
  <c r="M1869" i="1"/>
  <c r="O1869" i="1"/>
  <c r="P1869" i="1"/>
  <c r="H1870" i="1"/>
  <c r="J1870" i="1"/>
  <c r="L1870" i="1"/>
  <c r="M1870" i="1"/>
  <c r="O1870" i="1"/>
  <c r="J1871" i="1"/>
  <c r="L1871" i="1"/>
  <c r="M1871" i="1"/>
  <c r="O1871" i="1"/>
  <c r="P1871" i="1"/>
  <c r="H1872" i="1"/>
  <c r="J1872" i="1"/>
  <c r="L1872" i="1"/>
  <c r="H1873" i="1"/>
  <c r="K1873" i="1"/>
  <c r="L1873" i="1"/>
  <c r="M1873" i="1"/>
  <c r="O1873" i="1"/>
  <c r="P1873" i="1"/>
  <c r="J1874" i="1"/>
  <c r="L1874" i="1"/>
  <c r="M1874" i="1"/>
  <c r="O1874" i="1"/>
  <c r="H1875" i="1"/>
  <c r="J1875" i="1"/>
  <c r="L1875" i="1"/>
  <c r="M1875" i="1"/>
  <c r="O1875" i="1"/>
  <c r="P1875" i="1"/>
  <c r="L1876" i="1"/>
  <c r="M1876" i="1"/>
  <c r="O1876" i="1"/>
  <c r="P1876" i="1"/>
  <c r="H1877" i="1"/>
  <c r="K1877" i="1"/>
  <c r="L1877" i="1"/>
  <c r="M1877" i="1"/>
  <c r="O1877" i="1"/>
  <c r="J1878" i="1"/>
  <c r="L1878" i="1"/>
  <c r="M1878" i="1"/>
  <c r="P1878" i="1"/>
  <c r="H1879" i="1"/>
  <c r="J1879" i="1"/>
  <c r="K1879" i="1"/>
  <c r="L1879" i="1"/>
  <c r="O1879" i="1"/>
  <c r="P1879" i="1"/>
  <c r="J1880" i="1"/>
  <c r="L1880" i="1"/>
  <c r="M1880" i="1"/>
  <c r="O1880" i="1"/>
  <c r="P1880" i="1"/>
  <c r="H1881" i="1"/>
  <c r="J1881" i="1"/>
  <c r="L1881" i="1"/>
  <c r="M1881" i="1"/>
  <c r="O1881" i="1"/>
  <c r="K1882" i="1"/>
  <c r="L1882" i="1"/>
  <c r="M1882" i="1"/>
  <c r="O1882" i="1"/>
  <c r="H1883" i="1"/>
  <c r="J1883" i="1"/>
  <c r="K1883" i="1"/>
  <c r="L1883" i="1"/>
  <c r="M1883" i="1"/>
  <c r="O1883" i="1"/>
  <c r="H1884" i="1"/>
  <c r="J1884" i="1"/>
  <c r="L1884" i="1"/>
  <c r="O1884" i="1"/>
  <c r="P1884" i="1"/>
  <c r="J1885" i="1"/>
  <c r="L1885" i="1"/>
  <c r="M1885" i="1"/>
  <c r="O1885" i="1"/>
  <c r="P1885" i="1"/>
  <c r="L1886" i="1"/>
  <c r="O1886" i="1"/>
  <c r="H1887" i="1"/>
  <c r="J1887" i="1"/>
  <c r="L1887" i="1"/>
  <c r="M1887" i="1"/>
  <c r="O1887" i="1"/>
  <c r="K1888" i="1"/>
  <c r="L1888" i="1"/>
  <c r="O1888" i="1"/>
  <c r="P1888" i="1"/>
  <c r="J1889" i="1"/>
  <c r="K1889" i="1"/>
  <c r="L1889" i="1"/>
  <c r="O1889" i="1"/>
  <c r="P1889" i="1"/>
  <c r="H1890" i="1"/>
  <c r="J1890" i="1"/>
  <c r="L1890" i="1"/>
  <c r="M1890" i="1"/>
  <c r="P1890" i="1"/>
  <c r="L1891" i="1"/>
  <c r="M1891" i="1"/>
  <c r="O1891" i="1"/>
  <c r="P1891" i="1"/>
  <c r="H1892" i="1"/>
  <c r="J1892" i="1"/>
  <c r="K1892" i="1"/>
  <c r="L1892" i="1"/>
  <c r="M1892" i="1"/>
  <c r="O1892" i="1"/>
  <c r="H1893" i="1"/>
  <c r="J1893" i="1"/>
  <c r="L1893" i="1"/>
  <c r="M1893" i="1"/>
  <c r="O1893" i="1"/>
  <c r="P1893" i="1"/>
  <c r="K1894" i="1"/>
  <c r="L1894" i="1"/>
  <c r="O1894" i="1"/>
  <c r="P1894" i="1"/>
  <c r="J1895" i="1"/>
  <c r="K1895" i="1"/>
  <c r="L1895" i="1"/>
  <c r="O1895" i="1"/>
  <c r="H1896" i="1"/>
  <c r="J1896" i="1"/>
  <c r="L1896" i="1"/>
  <c r="M1896" i="1"/>
  <c r="O1896" i="1"/>
  <c r="P1896" i="1"/>
  <c r="H1897" i="1"/>
  <c r="L1897" i="1"/>
  <c r="O1897" i="1"/>
  <c r="J1898" i="1"/>
  <c r="L1898" i="1"/>
  <c r="M1898" i="1"/>
  <c r="O1898" i="1"/>
  <c r="J1899" i="1"/>
  <c r="L1899" i="1"/>
  <c r="M1899" i="1"/>
  <c r="O1899" i="1"/>
  <c r="P1899" i="1"/>
  <c r="L1900" i="1"/>
  <c r="M1900" i="1"/>
  <c r="O1900" i="1"/>
  <c r="P1900" i="1"/>
  <c r="J1901" i="1"/>
  <c r="L1901" i="1"/>
  <c r="M1901" i="1"/>
  <c r="O1901" i="1"/>
  <c r="H1902" i="1"/>
  <c r="L1902" i="1"/>
  <c r="M1902" i="1"/>
  <c r="O1902" i="1"/>
  <c r="P1902" i="1"/>
  <c r="L1903" i="1"/>
  <c r="O1903" i="1"/>
  <c r="P1903" i="1"/>
  <c r="H1904" i="1"/>
  <c r="J1904" i="1"/>
  <c r="L1904" i="1"/>
  <c r="O1904" i="1"/>
  <c r="H1905" i="1"/>
  <c r="J1905" i="1"/>
  <c r="L1905" i="1"/>
  <c r="M1905" i="1"/>
  <c r="P1905" i="1"/>
  <c r="H1906" i="1"/>
  <c r="K1906" i="1"/>
  <c r="L1906" i="1"/>
  <c r="M1906" i="1"/>
  <c r="O1906" i="1"/>
  <c r="J1907" i="1"/>
  <c r="L1907" i="1"/>
  <c r="M1907" i="1"/>
  <c r="O1907" i="1"/>
  <c r="P1907" i="1"/>
  <c r="H1908" i="1"/>
  <c r="J1908" i="1"/>
  <c r="L1908" i="1"/>
  <c r="O1908" i="1"/>
  <c r="P1908" i="1"/>
  <c r="L1909" i="1"/>
  <c r="O1909" i="1"/>
  <c r="P1909" i="1"/>
  <c r="J1910" i="1"/>
  <c r="L1910" i="1"/>
  <c r="M1910" i="1"/>
  <c r="O1910" i="1"/>
  <c r="H1911" i="1"/>
  <c r="J1911" i="1"/>
  <c r="L1911" i="1"/>
  <c r="M1911" i="1"/>
  <c r="O1911" i="1"/>
  <c r="P1911" i="1"/>
  <c r="J1912" i="1"/>
  <c r="K1912" i="1"/>
  <c r="L1912" i="1"/>
  <c r="M1912" i="1"/>
  <c r="O1912" i="1"/>
  <c r="H1913" i="1"/>
  <c r="L1913" i="1"/>
  <c r="M1913" i="1"/>
  <c r="O1913" i="1"/>
  <c r="P1913" i="1"/>
  <c r="H1914" i="1"/>
  <c r="J1914" i="1"/>
  <c r="L1914" i="1"/>
  <c r="M1914" i="1"/>
  <c r="P1914" i="1"/>
  <c r="L1915" i="1"/>
  <c r="O1915" i="1"/>
  <c r="P1915" i="1"/>
  <c r="J1916" i="1"/>
  <c r="L1916" i="1"/>
  <c r="M1916" i="1"/>
  <c r="O1916" i="1"/>
  <c r="P1916" i="1"/>
  <c r="H1917" i="1"/>
  <c r="J1917" i="1"/>
  <c r="L1917" i="1"/>
  <c r="M1917" i="1"/>
  <c r="O1917" i="1"/>
  <c r="K1918" i="1"/>
  <c r="L1918" i="1"/>
  <c r="O1918" i="1"/>
  <c r="P1918" i="1"/>
  <c r="H1919" i="1"/>
  <c r="L1919" i="1"/>
  <c r="M1919" i="1"/>
  <c r="O1919" i="1"/>
  <c r="P1919" i="1"/>
  <c r="H1920" i="1"/>
  <c r="J1920" i="1"/>
  <c r="L1920" i="1"/>
  <c r="M1920" i="1"/>
  <c r="K1921" i="1"/>
  <c r="L1921" i="1"/>
  <c r="O1921" i="1"/>
  <c r="P1921" i="1"/>
  <c r="J1922" i="1"/>
  <c r="L1922" i="1"/>
  <c r="O1922" i="1"/>
  <c r="J1923" i="1"/>
  <c r="L1923" i="1"/>
  <c r="M1923" i="1"/>
  <c r="O1923" i="1"/>
  <c r="P1923" i="1"/>
  <c r="K1924" i="1"/>
  <c r="L1924" i="1"/>
  <c r="O1924" i="1"/>
  <c r="P1924" i="1"/>
  <c r="J1925" i="1"/>
  <c r="K1925" i="1"/>
  <c r="L1925" i="1"/>
  <c r="M1925" i="1"/>
  <c r="O1925" i="1"/>
  <c r="H1926" i="1"/>
  <c r="J1926" i="1"/>
  <c r="L1926" i="1"/>
  <c r="O1926" i="1"/>
  <c r="H1927" i="1"/>
  <c r="L1927" i="1"/>
  <c r="M1927" i="1"/>
  <c r="O1927" i="1"/>
  <c r="P1927" i="1"/>
  <c r="K1928" i="1"/>
  <c r="L1928" i="1"/>
  <c r="M1928" i="1"/>
  <c r="O1928" i="1"/>
  <c r="P1928" i="1"/>
  <c r="H1929" i="1"/>
  <c r="J1929" i="1"/>
  <c r="L1929" i="1"/>
  <c r="M1929" i="1"/>
  <c r="H1930" i="1"/>
  <c r="J1930" i="1"/>
  <c r="L1930" i="1"/>
  <c r="M1930" i="1"/>
  <c r="O1930" i="1"/>
  <c r="P1930" i="1"/>
  <c r="H1931" i="1"/>
  <c r="J1931" i="1"/>
  <c r="L1931" i="1"/>
  <c r="O1931" i="1"/>
  <c r="H1932" i="1"/>
  <c r="J1932" i="1"/>
  <c r="L1932" i="1"/>
  <c r="M1932" i="1"/>
  <c r="O1932" i="1"/>
  <c r="P1932" i="1"/>
  <c r="J1933" i="1"/>
  <c r="L1933" i="1"/>
  <c r="O1933" i="1"/>
  <c r="P1933" i="1"/>
  <c r="H1934" i="1"/>
  <c r="L1934" i="1"/>
  <c r="M1934" i="1"/>
  <c r="O1934" i="1"/>
  <c r="J1935" i="1"/>
  <c r="L1935" i="1"/>
  <c r="M1935" i="1"/>
  <c r="O1935" i="1"/>
  <c r="P1935" i="1"/>
  <c r="K1936" i="1"/>
  <c r="L1936" i="1"/>
  <c r="O1936" i="1"/>
  <c r="P1936" i="1"/>
  <c r="J1937" i="1"/>
  <c r="K1937" i="1"/>
  <c r="L1937" i="1"/>
  <c r="M1937" i="1"/>
  <c r="O1937" i="1"/>
  <c r="L1938" i="1"/>
  <c r="M1938" i="1"/>
  <c r="O1938" i="1"/>
  <c r="H1939" i="1"/>
  <c r="L1939" i="1"/>
  <c r="M1939" i="1"/>
  <c r="O1939" i="1"/>
  <c r="P1939" i="1"/>
  <c r="H1940" i="1"/>
  <c r="J1940" i="1"/>
  <c r="L1940" i="1"/>
  <c r="M1940" i="1"/>
  <c r="O1940" i="1"/>
  <c r="H1941" i="1"/>
  <c r="J1941" i="1"/>
  <c r="L1941" i="1"/>
  <c r="M1941" i="1"/>
  <c r="O1941" i="1"/>
  <c r="P1941" i="1"/>
  <c r="J1942" i="1"/>
  <c r="K1942" i="1"/>
  <c r="L1942" i="1"/>
  <c r="M1942" i="1"/>
  <c r="O1942" i="1"/>
  <c r="J1943" i="1"/>
  <c r="L1943" i="1"/>
  <c r="M1943" i="1"/>
  <c r="O1943" i="1"/>
  <c r="P1943" i="1"/>
  <c r="H1944" i="1"/>
  <c r="J1944" i="1"/>
  <c r="L1944" i="1"/>
  <c r="P1944" i="1"/>
  <c r="H1945" i="1"/>
  <c r="K1945" i="1"/>
  <c r="L1945" i="1"/>
  <c r="O1945" i="1"/>
  <c r="P1945" i="1"/>
  <c r="J1946" i="1"/>
  <c r="K1946" i="1"/>
  <c r="L1946" i="1"/>
  <c r="M1946" i="1"/>
  <c r="O1946" i="1"/>
  <c r="H1947" i="1"/>
  <c r="J1947" i="1"/>
  <c r="L1947" i="1"/>
  <c r="M1947" i="1"/>
  <c r="O1947" i="1"/>
  <c r="P1947" i="1"/>
  <c r="H1948" i="1"/>
  <c r="K1948" i="1"/>
  <c r="L1948" i="1"/>
  <c r="O1948" i="1"/>
  <c r="P1948" i="1"/>
  <c r="L1949" i="1"/>
  <c r="O1949" i="1"/>
  <c r="P1949" i="1"/>
  <c r="H1950" i="1"/>
  <c r="J1950" i="1"/>
  <c r="L1950" i="1"/>
  <c r="M1950" i="1"/>
  <c r="P1950" i="1"/>
  <c r="J1951" i="1"/>
  <c r="K1951" i="1"/>
  <c r="L1951" i="1"/>
  <c r="O1951" i="1"/>
  <c r="P1951" i="1"/>
  <c r="H1952" i="1"/>
  <c r="J1952" i="1"/>
  <c r="L1952" i="1"/>
  <c r="M1952" i="1"/>
  <c r="O1952" i="1"/>
  <c r="H1953" i="1"/>
  <c r="J1953" i="1"/>
  <c r="L1953" i="1"/>
  <c r="M1953" i="1"/>
  <c r="O1953" i="1"/>
  <c r="J1954" i="1"/>
  <c r="K1954" i="1"/>
  <c r="L1954" i="1"/>
  <c r="O1954" i="1"/>
  <c r="J1955" i="1"/>
  <c r="L1955" i="1"/>
  <c r="O1955" i="1"/>
  <c r="H1956" i="1"/>
  <c r="J1956" i="1"/>
  <c r="L1956" i="1"/>
  <c r="O1956" i="1"/>
  <c r="P1956" i="1"/>
  <c r="J1957" i="1"/>
  <c r="K1957" i="1"/>
  <c r="L1957" i="1"/>
  <c r="M1957" i="1"/>
  <c r="O1957" i="1"/>
  <c r="P1957" i="1"/>
  <c r="L1958" i="1"/>
  <c r="O1958" i="1"/>
  <c r="P1958" i="1"/>
  <c r="H1959" i="1"/>
  <c r="J1959" i="1"/>
  <c r="L1959" i="1"/>
  <c r="M1959" i="1"/>
  <c r="O1959" i="1"/>
  <c r="K1960" i="1"/>
  <c r="L1960" i="1"/>
  <c r="M1960" i="1"/>
  <c r="O1960" i="1"/>
  <c r="P1960" i="1"/>
  <c r="H1961" i="1"/>
  <c r="J1961" i="1"/>
  <c r="K1961" i="1"/>
  <c r="L1961" i="1"/>
  <c r="O1961" i="1"/>
  <c r="H1962" i="1"/>
  <c r="J1962" i="1"/>
  <c r="L1962" i="1"/>
  <c r="M1962" i="1"/>
  <c r="O1962" i="1"/>
  <c r="P1962" i="1"/>
  <c r="H1963" i="1"/>
  <c r="J1963" i="1"/>
  <c r="L1963" i="1"/>
  <c r="O1963" i="1"/>
  <c r="P1963" i="1"/>
  <c r="H1964" i="1"/>
  <c r="L1964" i="1"/>
  <c r="M1964" i="1"/>
  <c r="O1964" i="1"/>
  <c r="H1965" i="1"/>
  <c r="J1965" i="1"/>
  <c r="L1965" i="1"/>
  <c r="M1965" i="1"/>
  <c r="O1965" i="1"/>
  <c r="J1966" i="1"/>
  <c r="K1966" i="1"/>
  <c r="L1966" i="1"/>
  <c r="O1966" i="1"/>
  <c r="P1966" i="1"/>
  <c r="J1967" i="1"/>
  <c r="K1967" i="1"/>
  <c r="L1967" i="1"/>
  <c r="M1967" i="1"/>
  <c r="O1967" i="1"/>
  <c r="H1968" i="1"/>
  <c r="J1968" i="1"/>
  <c r="L1968" i="1"/>
  <c r="M1968" i="1"/>
  <c r="P1968" i="1"/>
  <c r="H1969" i="1"/>
  <c r="J1969" i="1"/>
  <c r="K1969" i="1"/>
  <c r="L1969" i="1"/>
  <c r="O1969" i="1"/>
  <c r="H1970" i="1"/>
  <c r="J1970" i="1"/>
  <c r="K1970" i="1"/>
  <c r="L1970" i="1"/>
  <c r="M1970" i="1"/>
  <c r="O1970" i="1"/>
  <c r="J1971" i="1"/>
  <c r="L1971" i="1"/>
  <c r="M1971" i="1"/>
  <c r="O1971" i="1"/>
  <c r="P1971" i="1"/>
  <c r="H1972" i="1"/>
  <c r="J1972" i="1"/>
  <c r="K1972" i="1"/>
  <c r="L1972" i="1"/>
  <c r="M1972" i="1"/>
  <c r="O1972" i="1"/>
  <c r="P1972" i="1"/>
  <c r="J1973" i="1"/>
  <c r="L1973" i="1"/>
  <c r="M1973" i="1"/>
  <c r="O1973" i="1"/>
  <c r="P1973" i="1"/>
  <c r="H1974" i="1"/>
  <c r="L1974" i="1"/>
  <c r="M1974" i="1"/>
  <c r="O1974" i="1"/>
  <c r="P1974" i="1"/>
  <c r="J1975" i="1"/>
  <c r="L1975" i="1"/>
  <c r="M1975" i="1"/>
  <c r="O1975" i="1"/>
  <c r="P1975" i="1"/>
  <c r="J1976" i="1"/>
  <c r="K1976" i="1"/>
  <c r="L1976" i="1"/>
  <c r="O1976" i="1"/>
  <c r="H1977" i="1"/>
  <c r="J1977" i="1"/>
  <c r="L1977" i="1"/>
  <c r="M1977" i="1"/>
  <c r="P1977" i="1"/>
  <c r="H1978" i="1"/>
  <c r="K1978" i="1"/>
  <c r="L1978" i="1"/>
  <c r="M1978" i="1"/>
  <c r="O1978" i="1"/>
  <c r="J1979" i="1"/>
  <c r="K1979" i="1"/>
  <c r="L1979" i="1"/>
  <c r="O1979" i="1"/>
  <c r="P1979" i="1"/>
  <c r="H1980" i="1"/>
  <c r="J1980" i="1"/>
  <c r="L1980" i="1"/>
  <c r="O1980" i="1"/>
  <c r="P1980" i="1"/>
  <c r="L1981" i="1"/>
  <c r="O1981" i="1"/>
  <c r="P1981" i="1"/>
  <c r="J1982" i="1"/>
  <c r="L1982" i="1"/>
  <c r="M1982" i="1"/>
  <c r="O1982" i="1"/>
  <c r="H1983" i="1"/>
  <c r="J1983" i="1"/>
  <c r="L1983" i="1"/>
  <c r="M1983" i="1"/>
  <c r="O1983" i="1"/>
  <c r="P1983" i="1"/>
  <c r="J1984" i="1"/>
  <c r="K1984" i="1"/>
  <c r="L1984" i="1"/>
  <c r="M1984" i="1"/>
  <c r="O1984" i="1"/>
  <c r="L1985" i="1"/>
  <c r="M1985" i="1"/>
  <c r="O1985" i="1"/>
  <c r="P1985" i="1"/>
  <c r="H1986" i="1"/>
  <c r="J1986" i="1"/>
  <c r="L1986" i="1"/>
  <c r="M1986" i="1"/>
  <c r="H1987" i="1"/>
  <c r="K1987" i="1"/>
  <c r="L1987" i="1"/>
  <c r="M1987" i="1"/>
  <c r="O1987" i="1"/>
  <c r="P1987" i="1"/>
  <c r="H1988" i="1"/>
  <c r="J1988" i="1"/>
  <c r="L1988" i="1"/>
  <c r="M1988" i="1"/>
  <c r="O1988" i="1"/>
  <c r="P1988" i="1"/>
  <c r="H1989" i="1"/>
  <c r="J1989" i="1"/>
  <c r="L1989" i="1"/>
  <c r="M1989" i="1"/>
  <c r="O1989" i="1"/>
  <c r="H1990" i="1"/>
  <c r="K1990" i="1"/>
  <c r="L1990" i="1"/>
  <c r="M1990" i="1"/>
  <c r="O1990" i="1"/>
  <c r="P1990" i="1"/>
  <c r="H1991" i="1"/>
  <c r="J1991" i="1"/>
  <c r="L1991" i="1"/>
  <c r="M1991" i="1"/>
  <c r="O1991" i="1"/>
  <c r="P1991" i="1"/>
  <c r="J1992" i="1"/>
  <c r="L1992" i="1"/>
  <c r="M1992" i="1"/>
  <c r="O1992" i="1"/>
  <c r="P1992" i="1"/>
  <c r="J1993" i="1"/>
  <c r="L1993" i="1"/>
  <c r="M1993" i="1"/>
  <c r="O1993" i="1"/>
  <c r="P1993" i="1"/>
  <c r="H1994" i="1"/>
  <c r="J1994" i="1"/>
  <c r="K1994" i="1"/>
  <c r="L1994" i="1"/>
  <c r="O1994" i="1"/>
  <c r="J1995" i="1"/>
  <c r="L1995" i="1"/>
  <c r="M1995" i="1"/>
  <c r="O1995" i="1"/>
  <c r="P1995" i="1"/>
  <c r="H1996" i="1"/>
  <c r="K1996" i="1"/>
  <c r="L1996" i="1"/>
  <c r="M1996" i="1"/>
  <c r="O1996" i="1"/>
  <c r="P1996" i="1"/>
  <c r="J1997" i="1"/>
  <c r="L1997" i="1"/>
  <c r="M1997" i="1"/>
  <c r="O1997" i="1"/>
  <c r="P1997" i="1"/>
  <c r="H1998" i="1"/>
  <c r="J1998" i="1"/>
  <c r="L1998" i="1"/>
  <c r="O1998" i="1"/>
  <c r="P1998" i="1"/>
  <c r="L1999" i="1"/>
  <c r="M1999" i="1"/>
  <c r="O1999" i="1"/>
  <c r="P1999" i="1"/>
  <c r="H2000" i="1"/>
  <c r="K2000" i="1"/>
  <c r="L2000" i="1"/>
  <c r="M2000" i="1"/>
  <c r="O2000" i="1"/>
  <c r="J1631" i="1"/>
  <c r="L1631" i="1"/>
  <c r="M1631" i="1"/>
  <c r="O1631" i="1"/>
  <c r="P1631" i="1"/>
  <c r="H1632" i="1"/>
  <c r="J1632" i="1"/>
  <c r="K1632" i="1"/>
  <c r="L1632" i="1"/>
  <c r="O1632" i="1"/>
  <c r="J1633" i="1"/>
  <c r="L1633" i="1"/>
  <c r="M1633" i="1"/>
  <c r="O1633" i="1"/>
  <c r="P1633" i="1"/>
  <c r="J1634" i="1"/>
  <c r="L1634" i="1"/>
  <c r="M1634" i="1"/>
  <c r="O1634" i="1"/>
  <c r="P1634" i="1"/>
  <c r="J1635" i="1"/>
  <c r="K1635" i="1"/>
  <c r="L1635" i="1"/>
  <c r="M1635" i="1"/>
  <c r="O1635" i="1"/>
  <c r="J1636" i="1"/>
  <c r="L1636" i="1"/>
  <c r="M1636" i="1"/>
  <c r="O1636" i="1"/>
  <c r="P1636" i="1"/>
  <c r="L1637" i="1"/>
  <c r="M1637" i="1"/>
  <c r="O1637" i="1"/>
  <c r="P1637" i="1"/>
  <c r="H1638" i="1"/>
  <c r="J1638" i="1"/>
  <c r="L1638" i="1"/>
  <c r="M1638" i="1"/>
  <c r="O1638" i="1"/>
  <c r="H1639" i="1"/>
  <c r="J1639" i="1"/>
  <c r="L1639" i="1"/>
  <c r="M1639" i="1"/>
  <c r="O1639" i="1"/>
  <c r="P1639" i="1"/>
  <c r="J1640" i="1"/>
  <c r="L1640" i="1"/>
  <c r="M1640" i="1"/>
  <c r="O1640" i="1"/>
  <c r="H1641" i="1"/>
  <c r="J1641" i="1"/>
  <c r="K1641" i="1"/>
  <c r="L1641" i="1"/>
  <c r="M1641" i="1"/>
  <c r="H1642" i="1"/>
  <c r="J1642" i="1"/>
  <c r="L1642" i="1"/>
  <c r="M1642" i="1"/>
  <c r="O1642" i="1"/>
  <c r="P1642" i="1"/>
  <c r="J1643" i="1"/>
  <c r="L1643" i="1"/>
  <c r="M1643" i="1"/>
  <c r="O1643" i="1"/>
  <c r="P1643" i="1"/>
  <c r="H1644" i="1"/>
  <c r="J1644" i="1"/>
  <c r="K1644" i="1"/>
  <c r="L1644" i="1"/>
  <c r="M1644" i="1"/>
  <c r="K1645" i="1"/>
  <c r="L1645" i="1"/>
  <c r="M1645" i="1"/>
  <c r="O1645" i="1"/>
  <c r="P1645" i="1"/>
  <c r="J1646" i="1"/>
  <c r="K1646" i="1"/>
  <c r="L1646" i="1"/>
  <c r="O1646" i="1"/>
  <c r="H1647" i="1"/>
  <c r="J1647" i="1"/>
  <c r="K1647" i="1"/>
  <c r="L1647" i="1"/>
  <c r="M1647" i="1"/>
  <c r="O1647" i="1"/>
  <c r="L1648" i="1"/>
  <c r="O1648" i="1"/>
  <c r="P1648" i="1"/>
  <c r="H1649" i="1"/>
  <c r="J1649" i="1"/>
  <c r="L1649" i="1"/>
  <c r="M1649" i="1"/>
  <c r="O1649" i="1"/>
  <c r="P1649" i="1"/>
  <c r="H1650" i="1"/>
  <c r="J1650" i="1"/>
  <c r="K1650" i="1"/>
  <c r="L1650" i="1"/>
  <c r="M1650" i="1"/>
  <c r="O1650" i="1"/>
  <c r="L1651" i="1"/>
  <c r="M1651" i="1"/>
  <c r="O1651" i="1"/>
  <c r="L1652" i="1"/>
  <c r="M1652" i="1"/>
  <c r="O1652" i="1"/>
  <c r="H1653" i="1"/>
  <c r="J1653" i="1"/>
  <c r="K1653" i="1"/>
  <c r="L1653" i="1"/>
  <c r="M1653" i="1"/>
  <c r="O1653" i="1"/>
  <c r="L1654" i="1"/>
  <c r="M1654" i="1"/>
  <c r="O1654" i="1"/>
  <c r="P1654" i="1"/>
  <c r="J1655" i="1"/>
  <c r="L1655" i="1"/>
  <c r="M1655" i="1"/>
  <c r="O1655" i="1"/>
  <c r="H1656" i="1"/>
  <c r="J1656" i="1"/>
  <c r="K1656" i="1"/>
  <c r="L1656" i="1"/>
  <c r="M1656" i="1"/>
  <c r="O1656" i="1"/>
  <c r="L1657" i="1"/>
  <c r="O1657" i="1"/>
  <c r="P1657" i="1"/>
  <c r="J1658" i="1"/>
  <c r="L1658" i="1"/>
  <c r="M1658" i="1"/>
  <c r="O1658" i="1"/>
  <c r="J1659" i="1"/>
  <c r="K1659" i="1"/>
  <c r="L1659" i="1"/>
  <c r="M1659" i="1"/>
  <c r="O1659" i="1"/>
  <c r="K1660" i="1"/>
  <c r="L1660" i="1"/>
  <c r="M1660" i="1"/>
  <c r="O1660" i="1"/>
  <c r="P1660" i="1"/>
  <c r="J1661" i="1"/>
  <c r="L1661" i="1"/>
  <c r="M1661" i="1"/>
  <c r="O1661" i="1"/>
  <c r="P1661" i="1"/>
  <c r="H1662" i="1"/>
  <c r="K1662" i="1"/>
  <c r="L1662" i="1"/>
  <c r="O1662" i="1"/>
  <c r="J1663" i="1"/>
  <c r="L1663" i="1"/>
  <c r="O1663" i="1"/>
  <c r="P1663" i="1"/>
  <c r="J1664" i="1"/>
  <c r="L1664" i="1"/>
  <c r="M1664" i="1"/>
  <c r="O1664" i="1"/>
  <c r="J1665" i="1"/>
  <c r="L1665" i="1"/>
  <c r="M1665" i="1"/>
  <c r="O1665" i="1"/>
  <c r="H1666" i="1"/>
  <c r="L1666" i="1"/>
  <c r="M1666" i="1"/>
  <c r="O1666" i="1"/>
  <c r="J1667" i="1"/>
  <c r="L1667" i="1"/>
  <c r="M1667" i="1"/>
  <c r="O1667" i="1"/>
  <c r="P1667" i="1"/>
  <c r="H1668" i="1"/>
  <c r="J1668" i="1"/>
  <c r="K1668" i="1"/>
  <c r="L1668" i="1"/>
  <c r="M1668" i="1"/>
  <c r="O1668" i="1"/>
  <c r="J1669" i="1"/>
  <c r="L1669" i="1"/>
  <c r="M1669" i="1"/>
  <c r="O1669" i="1"/>
  <c r="P1669" i="1"/>
  <c r="L1670" i="1"/>
  <c r="M1670" i="1"/>
  <c r="O1670" i="1"/>
  <c r="P1670" i="1"/>
  <c r="H1671" i="1"/>
  <c r="J1671" i="1"/>
  <c r="K1671" i="1"/>
  <c r="L1671" i="1"/>
  <c r="M1671" i="1"/>
  <c r="O1671" i="1"/>
  <c r="J1672" i="1"/>
  <c r="L1672" i="1"/>
  <c r="M1672" i="1"/>
  <c r="O1672" i="1"/>
  <c r="P1672" i="1"/>
  <c r="K1673" i="1"/>
  <c r="L1673" i="1"/>
  <c r="M1673" i="1"/>
  <c r="O1673" i="1"/>
  <c r="H1674" i="1"/>
  <c r="J1674" i="1"/>
  <c r="K1674" i="1"/>
  <c r="L1674" i="1"/>
  <c r="O1674" i="1"/>
  <c r="K1675" i="1"/>
  <c r="L1675" i="1"/>
  <c r="M1675" i="1"/>
  <c r="O1675" i="1"/>
  <c r="P1675" i="1"/>
  <c r="J1676" i="1"/>
  <c r="L1676" i="1"/>
  <c r="M1676" i="1"/>
  <c r="O1676" i="1"/>
  <c r="P1676" i="1"/>
  <c r="H1677" i="1"/>
  <c r="J1677" i="1"/>
  <c r="K1677" i="1"/>
  <c r="L1677" i="1"/>
  <c r="M1677" i="1"/>
  <c r="L1678" i="1"/>
  <c r="O1678" i="1"/>
  <c r="P1678" i="1"/>
  <c r="H1679" i="1"/>
  <c r="J1679" i="1"/>
  <c r="K1679" i="1"/>
  <c r="L1679" i="1"/>
  <c r="M1679" i="1"/>
  <c r="O1679" i="1"/>
  <c r="J1680" i="1"/>
  <c r="K1680" i="1"/>
  <c r="L1680" i="1"/>
  <c r="M1680" i="1"/>
  <c r="O1680" i="1"/>
  <c r="J1681" i="1"/>
  <c r="L1681" i="1"/>
  <c r="M1681" i="1"/>
  <c r="O1681" i="1"/>
  <c r="P1681" i="1"/>
  <c r="J1682" i="1"/>
  <c r="L1682" i="1"/>
  <c r="O1682" i="1"/>
  <c r="P1682" i="1"/>
  <c r="H1683" i="1"/>
  <c r="J1683" i="1"/>
  <c r="K1683" i="1"/>
  <c r="L1683" i="1"/>
  <c r="M1683" i="1"/>
  <c r="O1683" i="1"/>
  <c r="K1684" i="1"/>
  <c r="L1684" i="1"/>
  <c r="M1684" i="1"/>
  <c r="O1684" i="1"/>
  <c r="P1684" i="1"/>
  <c r="L1685" i="1"/>
  <c r="M1685" i="1"/>
  <c r="O1685" i="1"/>
  <c r="H1686" i="1"/>
  <c r="J1686" i="1"/>
  <c r="K1686" i="1"/>
  <c r="L1686" i="1"/>
  <c r="M1686" i="1"/>
  <c r="H1687" i="1"/>
  <c r="L1687" i="1"/>
  <c r="M1687" i="1"/>
  <c r="O1687" i="1"/>
  <c r="P1687" i="1"/>
  <c r="J1688" i="1"/>
  <c r="L1688" i="1"/>
  <c r="O1688" i="1"/>
  <c r="H1689" i="1"/>
  <c r="J1689" i="1"/>
  <c r="K1689" i="1"/>
  <c r="L1689" i="1"/>
  <c r="M1689" i="1"/>
  <c r="O1689" i="1"/>
  <c r="K1690" i="1"/>
  <c r="L1690" i="1"/>
  <c r="M1690" i="1"/>
  <c r="O1690" i="1"/>
  <c r="P1690" i="1"/>
  <c r="J1691" i="1"/>
  <c r="L1691" i="1"/>
  <c r="M1691" i="1"/>
  <c r="O1691" i="1"/>
  <c r="H1692" i="1"/>
  <c r="J1692" i="1"/>
  <c r="K1692" i="1"/>
  <c r="L1692" i="1"/>
  <c r="M1692" i="1"/>
  <c r="O1692" i="1"/>
  <c r="J1693" i="1"/>
  <c r="L1693" i="1"/>
  <c r="O1693" i="1"/>
  <c r="P1693" i="1"/>
  <c r="K1694" i="1"/>
  <c r="L1694" i="1"/>
  <c r="M1694" i="1"/>
  <c r="O1694" i="1"/>
  <c r="P1694" i="1"/>
  <c r="J1695" i="1"/>
  <c r="K1695" i="1"/>
  <c r="L1695" i="1"/>
  <c r="M1695" i="1"/>
  <c r="O1695" i="1"/>
  <c r="H1696" i="1"/>
  <c r="J1696" i="1"/>
  <c r="K1696" i="1"/>
  <c r="L1696" i="1"/>
  <c r="M1696" i="1"/>
  <c r="O1696" i="1"/>
  <c r="J1697" i="1"/>
  <c r="L1697" i="1"/>
  <c r="M1697" i="1"/>
  <c r="O1697" i="1"/>
  <c r="P1697" i="1"/>
  <c r="H1698" i="1"/>
  <c r="K1698" i="1"/>
  <c r="L1698" i="1"/>
  <c r="O1698" i="1"/>
  <c r="J1699" i="1"/>
  <c r="L1699" i="1"/>
  <c r="M1699" i="1"/>
  <c r="O1699" i="1"/>
  <c r="P1699" i="1"/>
  <c r="L1700" i="1"/>
  <c r="M1700" i="1"/>
  <c r="O1700" i="1"/>
  <c r="P1700" i="1"/>
  <c r="H1701" i="1"/>
  <c r="J1701" i="1"/>
  <c r="L1701" i="1"/>
  <c r="M1701" i="1"/>
  <c r="J1702" i="1"/>
  <c r="K1702" i="1"/>
  <c r="L1702" i="1"/>
  <c r="M1702" i="1"/>
  <c r="O1702" i="1"/>
  <c r="H1614" i="1"/>
  <c r="J1614" i="1"/>
  <c r="K1614" i="1"/>
  <c r="L1614" i="1"/>
  <c r="O1614" i="1"/>
  <c r="P1614" i="1"/>
  <c r="J1615" i="1"/>
  <c r="K1615" i="1"/>
  <c r="L1615" i="1"/>
  <c r="M1615" i="1"/>
  <c r="O1615" i="1"/>
  <c r="L1616" i="1"/>
  <c r="M1616" i="1"/>
  <c r="O1616" i="1"/>
  <c r="P1616" i="1"/>
  <c r="J1617" i="1"/>
  <c r="K1617" i="1"/>
  <c r="L1617" i="1"/>
  <c r="M1617" i="1"/>
  <c r="P1617" i="1"/>
  <c r="J1618" i="1"/>
  <c r="L1618" i="1"/>
  <c r="O1618" i="1"/>
  <c r="J1619" i="1"/>
  <c r="L1619" i="1"/>
  <c r="O1619" i="1"/>
  <c r="H1620" i="1"/>
  <c r="K1620" i="1"/>
  <c r="L1620" i="1"/>
  <c r="M1620" i="1"/>
  <c r="O1620" i="1"/>
  <c r="P1620" i="1"/>
  <c r="L1621" i="1"/>
  <c r="M1621" i="1"/>
  <c r="O1621" i="1"/>
  <c r="J1622" i="1"/>
  <c r="K1622" i="1"/>
  <c r="L1622" i="1"/>
  <c r="M1622" i="1"/>
  <c r="O1622" i="1"/>
  <c r="H1623" i="1"/>
  <c r="J1623" i="1"/>
  <c r="L1623" i="1"/>
  <c r="M1623" i="1"/>
  <c r="O1623" i="1"/>
  <c r="P1623" i="1"/>
  <c r="H1624" i="1"/>
  <c r="J1624" i="1"/>
  <c r="L1624" i="1"/>
  <c r="O1624" i="1"/>
  <c r="J1625" i="1"/>
  <c r="L1625" i="1"/>
  <c r="M1625" i="1"/>
  <c r="O1625" i="1"/>
  <c r="H1626" i="1"/>
  <c r="J1626" i="1"/>
  <c r="K1626" i="1"/>
  <c r="L1626" i="1"/>
  <c r="M1626" i="1"/>
  <c r="O1626" i="1"/>
  <c r="P1626" i="1"/>
  <c r="L1627" i="1"/>
  <c r="M1627" i="1"/>
  <c r="O1627" i="1"/>
  <c r="J1628" i="1"/>
  <c r="L1628" i="1"/>
  <c r="M1628" i="1"/>
  <c r="O1628" i="1"/>
  <c r="H1629" i="1"/>
  <c r="J1629" i="1"/>
  <c r="K1629" i="1"/>
  <c r="L1629" i="1"/>
  <c r="M1629" i="1"/>
  <c r="O1629" i="1"/>
  <c r="P1629" i="1"/>
  <c r="H1630" i="1"/>
  <c r="K1630" i="1"/>
  <c r="L1630" i="1"/>
  <c r="M1630" i="1"/>
  <c r="O1630" i="1"/>
  <c r="L1604" i="1"/>
  <c r="M1604" i="1"/>
  <c r="O1604" i="1"/>
  <c r="P1604" i="1"/>
  <c r="H1605" i="1"/>
  <c r="J1605" i="1"/>
  <c r="K1605" i="1"/>
  <c r="L1605" i="1"/>
  <c r="M1605" i="1"/>
  <c r="P1605" i="1"/>
  <c r="J1606" i="1"/>
  <c r="L1606" i="1"/>
  <c r="M1606" i="1"/>
  <c r="O1606" i="1"/>
  <c r="H1607" i="1"/>
  <c r="J1607" i="1"/>
  <c r="L1607" i="1"/>
  <c r="O1607" i="1"/>
  <c r="H1608" i="1"/>
  <c r="J1608" i="1"/>
  <c r="K1608" i="1"/>
  <c r="L1608" i="1"/>
  <c r="M1608" i="1"/>
  <c r="P1608" i="1"/>
  <c r="L1609" i="1"/>
  <c r="M1609" i="1"/>
  <c r="O1609" i="1"/>
  <c r="J1610" i="1"/>
  <c r="L1610" i="1"/>
  <c r="M1610" i="1"/>
  <c r="O1610" i="1"/>
  <c r="H1611" i="1"/>
  <c r="J1611" i="1"/>
  <c r="K1611" i="1"/>
  <c r="L1611" i="1"/>
  <c r="M1611" i="1"/>
  <c r="O1611" i="1"/>
  <c r="H1612" i="1"/>
  <c r="J1612" i="1"/>
  <c r="K1612" i="1"/>
  <c r="L1612" i="1"/>
  <c r="M1612" i="1"/>
  <c r="O1612" i="1"/>
  <c r="H1613" i="1"/>
  <c r="J1613" i="1"/>
  <c r="L1613" i="1"/>
  <c r="O1613" i="1"/>
  <c r="P1613" i="1"/>
  <c r="L1601" i="1"/>
  <c r="M1601" i="1"/>
  <c r="O1601" i="1"/>
  <c r="P1601" i="1"/>
  <c r="J1602" i="1"/>
  <c r="K1602" i="1"/>
  <c r="L1602" i="1"/>
  <c r="M1602" i="1"/>
  <c r="H1603" i="1"/>
  <c r="L1603" i="1"/>
  <c r="M1603" i="1"/>
  <c r="O1603" i="1"/>
  <c r="P1603" i="1"/>
  <c r="J1501" i="1"/>
  <c r="L1501" i="1"/>
  <c r="O1501" i="1"/>
  <c r="P1501" i="1"/>
  <c r="L1502" i="1"/>
  <c r="M1502" i="1"/>
  <c r="O1502" i="1"/>
  <c r="H1503" i="1"/>
  <c r="J1503" i="1"/>
  <c r="L1503" i="1"/>
  <c r="M1503" i="1"/>
  <c r="P1503" i="1"/>
  <c r="J1504" i="1"/>
  <c r="L1504" i="1"/>
  <c r="M1504" i="1"/>
  <c r="O1504" i="1"/>
  <c r="J1505" i="1"/>
  <c r="L1505" i="1"/>
  <c r="M1505" i="1"/>
  <c r="O1505" i="1"/>
  <c r="H1506" i="1"/>
  <c r="J1506" i="1"/>
  <c r="K1506" i="1"/>
  <c r="L1506" i="1"/>
  <c r="M1506" i="1"/>
  <c r="O1506" i="1"/>
  <c r="J1507" i="1"/>
  <c r="L1507" i="1"/>
  <c r="M1507" i="1"/>
  <c r="O1507" i="1"/>
  <c r="P1507" i="1"/>
  <c r="J1508" i="1"/>
  <c r="L1508" i="1"/>
  <c r="M1508" i="1"/>
  <c r="O1508" i="1"/>
  <c r="H1509" i="1"/>
  <c r="J1509" i="1"/>
  <c r="K1509" i="1"/>
  <c r="L1509" i="1"/>
  <c r="M1509" i="1"/>
  <c r="O1509" i="1"/>
  <c r="J1510" i="1"/>
  <c r="L1510" i="1"/>
  <c r="M1510" i="1"/>
  <c r="O1510" i="1"/>
  <c r="P1510" i="1"/>
  <c r="J1511" i="1"/>
  <c r="L1511" i="1"/>
  <c r="O1511" i="1"/>
  <c r="H1512" i="1"/>
  <c r="J1512" i="1"/>
  <c r="K1512" i="1"/>
  <c r="L1512" i="1"/>
  <c r="M1512" i="1"/>
  <c r="O1512" i="1"/>
  <c r="P1512" i="1"/>
  <c r="L1513" i="1"/>
  <c r="M1513" i="1"/>
  <c r="O1513" i="1"/>
  <c r="P1513" i="1"/>
  <c r="J1514" i="1"/>
  <c r="L1514" i="1"/>
  <c r="M1514" i="1"/>
  <c r="O1514" i="1"/>
  <c r="H1515" i="1"/>
  <c r="J1515" i="1"/>
  <c r="K1515" i="1"/>
  <c r="L1515" i="1"/>
  <c r="M1515" i="1"/>
  <c r="O1515" i="1"/>
  <c r="P1515" i="1"/>
  <c r="J1516" i="1"/>
  <c r="L1516" i="1"/>
  <c r="M1516" i="1"/>
  <c r="O1516" i="1"/>
  <c r="P1516" i="1"/>
  <c r="J1517" i="1"/>
  <c r="L1517" i="1"/>
  <c r="M1517" i="1"/>
  <c r="O1517" i="1"/>
  <c r="H1518" i="1"/>
  <c r="J1518" i="1"/>
  <c r="K1518" i="1"/>
  <c r="L1518" i="1"/>
  <c r="M1518" i="1"/>
  <c r="O1518" i="1"/>
  <c r="P1518" i="1"/>
  <c r="H1519" i="1"/>
  <c r="J1519" i="1"/>
  <c r="K1519" i="1"/>
  <c r="L1519" i="1"/>
  <c r="M1519" i="1"/>
  <c r="O1519" i="1"/>
  <c r="J1520" i="1"/>
  <c r="L1520" i="1"/>
  <c r="M1520" i="1"/>
  <c r="O1520" i="1"/>
  <c r="J1521" i="1"/>
  <c r="K1521" i="1"/>
  <c r="L1521" i="1"/>
  <c r="M1521" i="1"/>
  <c r="O1521" i="1"/>
  <c r="P1521" i="1"/>
  <c r="J1522" i="1"/>
  <c r="L1522" i="1"/>
  <c r="O1522" i="1"/>
  <c r="P1522" i="1"/>
  <c r="H1523" i="1"/>
  <c r="J1523" i="1"/>
  <c r="L1523" i="1"/>
  <c r="M1523" i="1"/>
  <c r="O1523" i="1"/>
  <c r="P1523" i="1"/>
  <c r="J1524" i="1"/>
  <c r="K1524" i="1"/>
  <c r="L1524" i="1"/>
  <c r="M1524" i="1"/>
  <c r="O1524" i="1"/>
  <c r="H1525" i="1"/>
  <c r="L1525" i="1"/>
  <c r="O1525" i="1"/>
  <c r="P1525" i="1"/>
  <c r="J1526" i="1"/>
  <c r="L1526" i="1"/>
  <c r="O1526" i="1"/>
  <c r="J1527" i="1"/>
  <c r="K1527" i="1"/>
  <c r="L1527" i="1"/>
  <c r="M1527" i="1"/>
  <c r="O1527" i="1"/>
  <c r="P1527" i="1"/>
  <c r="L1528" i="1"/>
  <c r="O1528" i="1"/>
  <c r="P1528" i="1"/>
  <c r="J1529" i="1"/>
  <c r="K1529" i="1"/>
  <c r="L1529" i="1"/>
  <c r="M1529" i="1"/>
  <c r="O1529" i="1"/>
  <c r="J1530" i="1"/>
  <c r="K1530" i="1"/>
  <c r="L1530" i="1"/>
  <c r="M1530" i="1"/>
  <c r="O1530" i="1"/>
  <c r="P1530" i="1"/>
  <c r="H1531" i="1"/>
  <c r="L1531" i="1"/>
  <c r="O1531" i="1"/>
  <c r="P1531" i="1"/>
  <c r="J1532" i="1"/>
  <c r="L1532" i="1"/>
  <c r="M1532" i="1"/>
  <c r="O1532" i="1"/>
  <c r="P1532" i="1"/>
  <c r="J1533" i="1"/>
  <c r="K1533" i="1"/>
  <c r="L1533" i="1"/>
  <c r="M1533" i="1"/>
  <c r="O1533" i="1"/>
  <c r="P1533" i="1"/>
  <c r="J1534" i="1"/>
  <c r="L1534" i="1"/>
  <c r="O1534" i="1"/>
  <c r="P1534" i="1"/>
  <c r="J1535" i="1"/>
  <c r="L1535" i="1"/>
  <c r="M1535" i="1"/>
  <c r="O1535" i="1"/>
  <c r="P1535" i="1"/>
  <c r="J1536" i="1"/>
  <c r="K1536" i="1"/>
  <c r="L1536" i="1"/>
  <c r="M1536" i="1"/>
  <c r="O1536" i="1"/>
  <c r="P1536" i="1"/>
  <c r="J1537" i="1"/>
  <c r="K1537" i="1"/>
  <c r="L1537" i="1"/>
  <c r="O1537" i="1"/>
  <c r="P1537" i="1"/>
  <c r="J1538" i="1"/>
  <c r="L1538" i="1"/>
  <c r="M1538" i="1"/>
  <c r="O1538" i="1"/>
  <c r="J1539" i="1"/>
  <c r="K1539" i="1"/>
  <c r="L1539" i="1"/>
  <c r="M1539" i="1"/>
  <c r="O1539" i="1"/>
  <c r="P1539" i="1"/>
  <c r="J1540" i="1"/>
  <c r="L1540" i="1"/>
  <c r="O1540" i="1"/>
  <c r="P1540" i="1"/>
  <c r="J1541" i="1"/>
  <c r="L1541" i="1"/>
  <c r="M1541" i="1"/>
  <c r="O1541" i="1"/>
  <c r="P1541" i="1"/>
  <c r="J1542" i="1"/>
  <c r="K1542" i="1"/>
  <c r="L1542" i="1"/>
  <c r="M1542" i="1"/>
  <c r="O1542" i="1"/>
  <c r="J1543" i="1"/>
  <c r="K1543" i="1"/>
  <c r="L1543" i="1"/>
  <c r="O1543" i="1"/>
  <c r="P1543" i="1"/>
  <c r="J1544" i="1"/>
  <c r="L1544" i="1"/>
  <c r="O1544" i="1"/>
  <c r="P1544" i="1"/>
  <c r="J1545" i="1"/>
  <c r="K1545" i="1"/>
  <c r="L1545" i="1"/>
  <c r="M1545" i="1"/>
  <c r="O1545" i="1"/>
  <c r="P1545" i="1"/>
  <c r="L1546" i="1"/>
  <c r="O1546" i="1"/>
  <c r="P1546" i="1"/>
  <c r="J1547" i="1"/>
  <c r="L1547" i="1"/>
  <c r="M1547" i="1"/>
  <c r="O1547" i="1"/>
  <c r="J1548" i="1"/>
  <c r="K1548" i="1"/>
  <c r="L1548" i="1"/>
  <c r="M1548" i="1"/>
  <c r="O1548" i="1"/>
  <c r="P1548" i="1"/>
  <c r="K1549" i="1"/>
  <c r="L1549" i="1"/>
  <c r="O1549" i="1"/>
  <c r="P1549" i="1"/>
  <c r="J1550" i="1"/>
  <c r="K1550" i="1"/>
  <c r="L1550" i="1"/>
  <c r="M1550" i="1"/>
  <c r="O1550" i="1"/>
  <c r="P1550" i="1"/>
  <c r="J1551" i="1"/>
  <c r="K1551" i="1"/>
  <c r="L1551" i="1"/>
  <c r="M1551" i="1"/>
  <c r="O1551" i="1"/>
  <c r="P1551" i="1"/>
  <c r="J1552" i="1"/>
  <c r="L1552" i="1"/>
  <c r="O1552" i="1"/>
  <c r="P1552" i="1"/>
  <c r="J1553" i="1"/>
  <c r="L1553" i="1"/>
  <c r="M1553" i="1"/>
  <c r="O1553" i="1"/>
  <c r="J1554" i="1"/>
  <c r="K1554" i="1"/>
  <c r="L1554" i="1"/>
  <c r="M1554" i="1"/>
  <c r="O1554" i="1"/>
  <c r="P1554" i="1"/>
  <c r="J1555" i="1"/>
  <c r="L1555" i="1"/>
  <c r="O1555" i="1"/>
  <c r="P1555" i="1"/>
  <c r="J1556" i="1"/>
  <c r="K1556" i="1"/>
  <c r="L1556" i="1"/>
  <c r="M1556" i="1"/>
  <c r="O1556" i="1"/>
  <c r="J1557" i="1"/>
  <c r="K1557" i="1"/>
  <c r="L1557" i="1"/>
  <c r="M1557" i="1"/>
  <c r="O1557" i="1"/>
  <c r="P1557" i="1"/>
  <c r="J1558" i="1"/>
  <c r="L1558" i="1"/>
  <c r="O1558" i="1"/>
  <c r="P1558" i="1"/>
  <c r="J1559" i="1"/>
  <c r="L1559" i="1"/>
  <c r="M1559" i="1"/>
  <c r="O1559" i="1"/>
  <c r="P1559" i="1"/>
  <c r="J1560" i="1"/>
  <c r="K1560" i="1"/>
  <c r="L1560" i="1"/>
  <c r="M1560" i="1"/>
  <c r="O1560" i="1"/>
  <c r="K1561" i="1"/>
  <c r="L1561" i="1"/>
  <c r="O1561" i="1"/>
  <c r="P1561" i="1"/>
  <c r="J1562" i="1"/>
  <c r="K1562" i="1"/>
  <c r="L1562" i="1"/>
  <c r="O1562" i="1"/>
  <c r="J1563" i="1"/>
  <c r="K1563" i="1"/>
  <c r="L1563" i="1"/>
  <c r="M1563" i="1"/>
  <c r="O1563" i="1"/>
  <c r="P1563" i="1"/>
  <c r="L1564" i="1"/>
  <c r="O1564" i="1"/>
  <c r="P1564" i="1"/>
  <c r="J1565" i="1"/>
  <c r="L1565" i="1"/>
  <c r="M1565" i="1"/>
  <c r="O1565" i="1"/>
  <c r="P1565" i="1"/>
  <c r="J1566" i="1"/>
  <c r="K1566" i="1"/>
  <c r="L1566" i="1"/>
  <c r="M1566" i="1"/>
  <c r="O1566" i="1"/>
  <c r="P1566" i="1"/>
  <c r="H1567" i="1"/>
  <c r="J1567" i="1"/>
  <c r="K1567" i="1"/>
  <c r="L1567" i="1"/>
  <c r="O1567" i="1"/>
  <c r="P1567" i="1"/>
  <c r="J1568" i="1"/>
  <c r="L1568" i="1"/>
  <c r="M1568" i="1"/>
  <c r="O1568" i="1"/>
  <c r="P1568" i="1"/>
  <c r="J1569" i="1"/>
  <c r="K1569" i="1"/>
  <c r="L1569" i="1"/>
  <c r="M1569" i="1"/>
  <c r="O1569" i="1"/>
  <c r="P1569" i="1"/>
  <c r="H1570" i="1"/>
  <c r="J1570" i="1"/>
  <c r="L1570" i="1"/>
  <c r="O1570" i="1"/>
  <c r="P1570" i="1"/>
  <c r="J1571" i="1"/>
  <c r="L1571" i="1"/>
  <c r="M1571" i="1"/>
  <c r="O1571" i="1"/>
  <c r="P1571" i="1"/>
  <c r="J1572" i="1"/>
  <c r="K1572" i="1"/>
  <c r="L1572" i="1"/>
  <c r="M1572" i="1"/>
  <c r="O1572" i="1"/>
  <c r="P1572" i="1"/>
  <c r="L1573" i="1"/>
  <c r="O1573" i="1"/>
  <c r="P1573" i="1"/>
  <c r="J1574" i="1"/>
  <c r="L1574" i="1"/>
  <c r="M1574" i="1"/>
  <c r="O1574" i="1"/>
  <c r="J1575" i="1"/>
  <c r="K1575" i="1"/>
  <c r="L1575" i="1"/>
  <c r="M1575" i="1"/>
  <c r="O1575" i="1"/>
  <c r="P1575" i="1"/>
  <c r="H1576" i="1"/>
  <c r="J1576" i="1"/>
  <c r="L1576" i="1"/>
  <c r="O1576" i="1"/>
  <c r="P1576" i="1"/>
  <c r="J1577" i="1"/>
  <c r="L1577" i="1"/>
  <c r="M1577" i="1"/>
  <c r="O1577" i="1"/>
  <c r="P1577" i="1"/>
  <c r="J1578" i="1"/>
  <c r="K1578" i="1"/>
  <c r="L1578" i="1"/>
  <c r="M1578" i="1"/>
  <c r="O1578" i="1"/>
  <c r="H1579" i="1"/>
  <c r="J1579" i="1"/>
  <c r="L1579" i="1"/>
  <c r="O1579" i="1"/>
  <c r="P1579" i="1"/>
  <c r="J1580" i="1"/>
  <c r="L1580" i="1"/>
  <c r="O1580" i="1"/>
  <c r="P1580" i="1"/>
  <c r="J1581" i="1"/>
  <c r="K1581" i="1"/>
  <c r="L1581" i="1"/>
  <c r="M1581" i="1"/>
  <c r="O1581" i="1"/>
  <c r="P1581" i="1"/>
  <c r="L1582" i="1"/>
  <c r="O1582" i="1"/>
  <c r="P1582" i="1"/>
  <c r="J1583" i="1"/>
  <c r="L1583" i="1"/>
  <c r="M1583" i="1"/>
  <c r="O1583" i="1"/>
  <c r="J1584" i="1"/>
  <c r="K1584" i="1"/>
  <c r="L1584" i="1"/>
  <c r="M1584" i="1"/>
  <c r="O1584" i="1"/>
  <c r="P1584" i="1"/>
  <c r="K1585" i="1"/>
  <c r="L1585" i="1"/>
  <c r="O1585" i="1"/>
  <c r="P1585" i="1"/>
  <c r="J1586" i="1"/>
  <c r="K1586" i="1"/>
  <c r="L1586" i="1"/>
  <c r="M1586" i="1"/>
  <c r="O1586" i="1"/>
  <c r="P1586" i="1"/>
  <c r="J1587" i="1"/>
  <c r="K1587" i="1"/>
  <c r="L1587" i="1"/>
  <c r="M1587" i="1"/>
  <c r="O1587" i="1"/>
  <c r="P1587" i="1"/>
  <c r="J1588" i="1"/>
  <c r="L1588" i="1"/>
  <c r="O1588" i="1"/>
  <c r="P1588" i="1"/>
  <c r="J1589" i="1"/>
  <c r="L1589" i="1"/>
  <c r="M1589" i="1"/>
  <c r="O1589" i="1"/>
  <c r="P1589" i="1"/>
  <c r="J1590" i="1"/>
  <c r="K1590" i="1"/>
  <c r="L1590" i="1"/>
  <c r="M1590" i="1"/>
  <c r="O1590" i="1"/>
  <c r="P1590" i="1"/>
  <c r="H1591" i="1"/>
  <c r="J1591" i="1"/>
  <c r="K1591" i="1"/>
  <c r="L1591" i="1"/>
  <c r="O1591" i="1"/>
  <c r="P1591" i="1"/>
  <c r="J1592" i="1"/>
  <c r="L1592" i="1"/>
  <c r="M1592" i="1"/>
  <c r="O1592" i="1"/>
  <c r="P1592" i="1"/>
  <c r="J1593" i="1"/>
  <c r="K1593" i="1"/>
  <c r="L1593" i="1"/>
  <c r="M1593" i="1"/>
  <c r="O1593" i="1"/>
  <c r="P1593" i="1"/>
  <c r="J1594" i="1"/>
  <c r="L1594" i="1"/>
  <c r="O1594" i="1"/>
  <c r="P1594" i="1"/>
  <c r="J1595" i="1"/>
  <c r="L1595" i="1"/>
  <c r="M1595" i="1"/>
  <c r="O1595" i="1"/>
  <c r="P1595" i="1"/>
  <c r="J1596" i="1"/>
  <c r="K1596" i="1"/>
  <c r="L1596" i="1"/>
  <c r="M1596" i="1"/>
  <c r="O1596" i="1"/>
  <c r="H1597" i="1"/>
  <c r="K1597" i="1"/>
  <c r="L1597" i="1"/>
  <c r="O1597" i="1"/>
  <c r="P1597" i="1"/>
  <c r="J1598" i="1"/>
  <c r="L1598" i="1"/>
  <c r="O1598" i="1"/>
  <c r="J1599" i="1"/>
  <c r="K1599" i="1"/>
  <c r="L1599" i="1"/>
  <c r="M1599" i="1"/>
  <c r="O1599" i="1"/>
  <c r="P1599" i="1"/>
  <c r="L1600" i="1"/>
  <c r="O1600" i="1"/>
  <c r="P1600" i="1"/>
  <c r="I8" i="3"/>
  <c r="J2" i="1"/>
  <c r="J3" i="1"/>
  <c r="J4" i="1"/>
  <c r="M2" i="1"/>
  <c r="O2" i="1"/>
  <c r="K3" i="1"/>
  <c r="M3" i="1"/>
  <c r="N3" i="1"/>
  <c r="O3" i="1"/>
  <c r="P3" i="1"/>
  <c r="K4" i="1"/>
  <c r="M4" i="1"/>
  <c r="N4" i="1"/>
  <c r="O4" i="1"/>
  <c r="P4" i="1"/>
  <c r="M5" i="1"/>
  <c r="N5" i="1"/>
  <c r="O5" i="1"/>
  <c r="J6" i="1"/>
  <c r="K6" i="1"/>
  <c r="M6" i="1"/>
  <c r="N6" i="1"/>
  <c r="P6" i="1"/>
  <c r="J7" i="1"/>
  <c r="M7" i="1"/>
  <c r="N7" i="1"/>
  <c r="O7" i="1"/>
  <c r="J8" i="1"/>
  <c r="M8" i="1"/>
  <c r="N8" i="1"/>
  <c r="O8" i="1"/>
  <c r="J9" i="1"/>
  <c r="K9" i="1"/>
  <c r="M9" i="1"/>
  <c r="N9" i="1"/>
  <c r="O9" i="1"/>
  <c r="J10" i="1"/>
  <c r="M10" i="1"/>
  <c r="N10" i="1"/>
  <c r="O10" i="1"/>
  <c r="P10" i="1"/>
  <c r="M11" i="1"/>
  <c r="N11" i="1"/>
  <c r="O11" i="1"/>
  <c r="J12" i="1"/>
  <c r="K12" i="1"/>
  <c r="M12" i="1"/>
  <c r="N12" i="1"/>
  <c r="O12" i="1"/>
  <c r="P12" i="1"/>
  <c r="M13" i="1"/>
  <c r="N13" i="1"/>
  <c r="O13" i="1"/>
  <c r="J14" i="1"/>
  <c r="M14" i="1"/>
  <c r="N14" i="1"/>
  <c r="O14" i="1"/>
  <c r="J15" i="1"/>
  <c r="K15" i="1"/>
  <c r="M15" i="1"/>
  <c r="N15" i="1"/>
  <c r="O15" i="1"/>
  <c r="J16" i="1"/>
  <c r="M16" i="1"/>
  <c r="N16" i="1"/>
  <c r="O16" i="1"/>
  <c r="P16" i="1"/>
  <c r="J17" i="1"/>
  <c r="M17" i="1"/>
  <c r="N17" i="1"/>
  <c r="O17" i="1"/>
  <c r="J18" i="1"/>
  <c r="K18" i="1"/>
  <c r="M18" i="1"/>
  <c r="N18" i="1"/>
  <c r="O18" i="1"/>
  <c r="P18" i="1"/>
  <c r="J19" i="1"/>
  <c r="M19" i="1"/>
  <c r="N19" i="1"/>
  <c r="O19" i="1"/>
  <c r="J20" i="1"/>
  <c r="M20" i="1"/>
  <c r="N20" i="1"/>
  <c r="O20" i="1"/>
  <c r="P20" i="1"/>
  <c r="J21" i="1"/>
  <c r="K21" i="1"/>
  <c r="M21" i="1"/>
  <c r="N21" i="1"/>
  <c r="O21" i="1"/>
  <c r="M22" i="1"/>
  <c r="N22" i="1"/>
  <c r="O22" i="1"/>
  <c r="P22" i="1"/>
  <c r="J23" i="1"/>
  <c r="M23" i="1"/>
  <c r="N23" i="1"/>
  <c r="O23" i="1"/>
  <c r="J24" i="1"/>
  <c r="M24" i="1"/>
  <c r="N24" i="1"/>
  <c r="O24" i="1"/>
  <c r="P24" i="1"/>
  <c r="J25" i="1"/>
  <c r="M25" i="1"/>
  <c r="N25" i="1"/>
  <c r="O25" i="1"/>
  <c r="J26" i="1"/>
  <c r="M26" i="1"/>
  <c r="N26" i="1"/>
  <c r="O26" i="1"/>
  <c r="J27" i="1"/>
  <c r="K27" i="1"/>
  <c r="M27" i="1"/>
  <c r="N27" i="1"/>
  <c r="O27" i="1"/>
  <c r="J28" i="1"/>
  <c r="K28" i="1"/>
  <c r="M28" i="1"/>
  <c r="N28" i="1"/>
  <c r="O28" i="1"/>
  <c r="P28" i="1"/>
  <c r="J29" i="1"/>
  <c r="M29" i="1"/>
  <c r="N29" i="1"/>
  <c r="O29" i="1"/>
  <c r="J30" i="1"/>
  <c r="K30" i="1"/>
  <c r="M30" i="1"/>
  <c r="N30" i="1"/>
  <c r="P30" i="1"/>
  <c r="J31" i="1"/>
  <c r="K31" i="1"/>
  <c r="M31" i="1"/>
  <c r="N31" i="1"/>
  <c r="O31" i="1"/>
  <c r="J32" i="1"/>
  <c r="K32" i="1"/>
  <c r="M32" i="1"/>
  <c r="N32" i="1"/>
  <c r="O32" i="1"/>
  <c r="J33" i="1"/>
  <c r="K33" i="1"/>
  <c r="M33" i="1"/>
  <c r="N33" i="1"/>
  <c r="O33" i="1"/>
  <c r="M34" i="1"/>
  <c r="N34" i="1"/>
  <c r="O34" i="1"/>
  <c r="P34" i="1"/>
  <c r="M35" i="1"/>
  <c r="N35" i="1"/>
  <c r="O35" i="1"/>
  <c r="J36" i="1"/>
  <c r="K36" i="1"/>
  <c r="M36" i="1"/>
  <c r="N36" i="1"/>
  <c r="O36" i="1"/>
  <c r="P36" i="1"/>
  <c r="J37" i="1"/>
  <c r="M37" i="1"/>
  <c r="N37" i="1"/>
  <c r="O37" i="1"/>
  <c r="J38" i="1"/>
  <c r="M38" i="1"/>
  <c r="N38" i="1"/>
  <c r="O38" i="1"/>
  <c r="P38" i="1"/>
  <c r="J39" i="1"/>
  <c r="K39" i="1"/>
  <c r="M39" i="1"/>
  <c r="N39" i="1"/>
  <c r="O39" i="1"/>
  <c r="J40" i="1"/>
  <c r="M40" i="1"/>
  <c r="N40" i="1"/>
  <c r="O40" i="1"/>
  <c r="P40" i="1"/>
  <c r="J41" i="1"/>
  <c r="M41" i="1"/>
  <c r="N41" i="1"/>
  <c r="O41" i="1"/>
  <c r="J42" i="1"/>
  <c r="K42" i="1"/>
  <c r="M42" i="1"/>
  <c r="N42" i="1"/>
  <c r="O42" i="1"/>
  <c r="P42" i="1"/>
  <c r="M43" i="1"/>
  <c r="N43" i="1"/>
  <c r="O43" i="1"/>
  <c r="J44" i="1"/>
  <c r="M44" i="1"/>
  <c r="N44" i="1"/>
  <c r="O44" i="1"/>
  <c r="P44" i="1"/>
  <c r="J45" i="1"/>
  <c r="K45" i="1"/>
  <c r="M45" i="1"/>
  <c r="N45" i="1"/>
  <c r="O45" i="1"/>
  <c r="M46" i="1"/>
  <c r="N46" i="1"/>
  <c r="O46" i="1"/>
  <c r="P46" i="1"/>
  <c r="J47" i="1"/>
  <c r="M47" i="1"/>
  <c r="N47" i="1"/>
  <c r="O47" i="1"/>
  <c r="J48" i="1"/>
  <c r="M48" i="1"/>
  <c r="N48" i="1"/>
  <c r="O48" i="1"/>
  <c r="P48" i="1"/>
  <c r="J49" i="1"/>
  <c r="M49" i="1"/>
  <c r="N49" i="1"/>
  <c r="O49" i="1"/>
  <c r="J50" i="1"/>
  <c r="M50" i="1"/>
  <c r="N50" i="1"/>
  <c r="O50" i="1"/>
  <c r="J51" i="1"/>
  <c r="K51" i="1"/>
  <c r="M51" i="1"/>
  <c r="N51" i="1"/>
  <c r="O51" i="1"/>
  <c r="J52" i="1"/>
  <c r="M52" i="1"/>
  <c r="N52" i="1"/>
  <c r="O52" i="1"/>
  <c r="P52" i="1"/>
  <c r="J53" i="1"/>
  <c r="M53" i="1"/>
  <c r="N53" i="1"/>
  <c r="O53" i="1"/>
  <c r="J54" i="1"/>
  <c r="K54" i="1"/>
  <c r="M54" i="1"/>
  <c r="N54" i="1"/>
  <c r="P54" i="1"/>
  <c r="J55" i="1"/>
  <c r="M55" i="1"/>
  <c r="N55" i="1"/>
  <c r="O55" i="1"/>
  <c r="P55" i="1"/>
  <c r="J56" i="1"/>
  <c r="M56" i="1"/>
  <c r="N56" i="1"/>
  <c r="O56" i="1"/>
  <c r="J57" i="1"/>
  <c r="K57" i="1"/>
  <c r="M57" i="1"/>
  <c r="N57" i="1"/>
  <c r="O57" i="1"/>
  <c r="P57" i="1"/>
  <c r="J58" i="1"/>
  <c r="M58" i="1"/>
  <c r="N58" i="1"/>
  <c r="O58" i="1"/>
  <c r="P58" i="1"/>
  <c r="J59" i="1"/>
  <c r="M59" i="1"/>
  <c r="N59" i="1"/>
  <c r="O59" i="1"/>
  <c r="J60" i="1"/>
  <c r="K60" i="1"/>
  <c r="M60" i="1"/>
  <c r="N60" i="1"/>
  <c r="P60" i="1"/>
  <c r="M61" i="1"/>
  <c r="N61" i="1"/>
  <c r="O61" i="1"/>
  <c r="P61" i="1"/>
  <c r="J62" i="1"/>
  <c r="M62" i="1"/>
  <c r="N62" i="1"/>
  <c r="O62" i="1"/>
  <c r="P62" i="1"/>
  <c r="J63" i="1"/>
  <c r="K63" i="1"/>
  <c r="M63" i="1"/>
  <c r="N63" i="1"/>
  <c r="O63" i="1"/>
  <c r="P63" i="1"/>
  <c r="M64" i="1"/>
  <c r="N64" i="1"/>
  <c r="O64" i="1"/>
  <c r="P64" i="1"/>
  <c r="J65" i="1"/>
  <c r="M65" i="1"/>
  <c r="N65" i="1"/>
  <c r="O65" i="1"/>
  <c r="P65" i="1"/>
  <c r="J66" i="1"/>
  <c r="K66" i="1"/>
  <c r="M66" i="1"/>
  <c r="N66" i="1"/>
  <c r="P66" i="1"/>
  <c r="J67" i="1"/>
  <c r="M67" i="1"/>
  <c r="N67" i="1"/>
  <c r="O67" i="1"/>
  <c r="P67" i="1"/>
  <c r="J68" i="1"/>
  <c r="M68" i="1"/>
  <c r="N68" i="1"/>
  <c r="O68" i="1"/>
  <c r="P68" i="1"/>
  <c r="J69" i="1"/>
  <c r="K69" i="1"/>
  <c r="M69" i="1"/>
  <c r="N69" i="1"/>
  <c r="O69" i="1"/>
  <c r="P69" i="1"/>
  <c r="J70" i="1"/>
  <c r="M70" i="1"/>
  <c r="N70" i="1"/>
  <c r="O70" i="1"/>
  <c r="P70" i="1"/>
  <c r="J71" i="1"/>
  <c r="M71" i="1"/>
  <c r="N71" i="1"/>
  <c r="O71" i="1"/>
  <c r="J72" i="1"/>
  <c r="K72" i="1"/>
  <c r="M72" i="1"/>
  <c r="N72" i="1"/>
  <c r="P72" i="1"/>
  <c r="J73" i="1"/>
  <c r="M73" i="1"/>
  <c r="N73" i="1"/>
  <c r="O73" i="1"/>
  <c r="P73" i="1"/>
  <c r="J74" i="1"/>
  <c r="M74" i="1"/>
  <c r="N74" i="1"/>
  <c r="O74" i="1"/>
  <c r="P74" i="1"/>
  <c r="J75" i="1"/>
  <c r="K75" i="1"/>
  <c r="M75" i="1"/>
  <c r="N75" i="1"/>
  <c r="O75" i="1"/>
  <c r="P75" i="1"/>
  <c r="M76" i="1"/>
  <c r="N76" i="1"/>
  <c r="O76" i="1"/>
  <c r="P76" i="1"/>
  <c r="J77" i="1"/>
  <c r="M77" i="1"/>
  <c r="N77" i="1"/>
  <c r="O77" i="1"/>
  <c r="J78" i="1"/>
  <c r="K78" i="1"/>
  <c r="M78" i="1"/>
  <c r="N78" i="1"/>
  <c r="P78" i="1"/>
  <c r="J79" i="1"/>
  <c r="M79" i="1"/>
  <c r="N79" i="1"/>
  <c r="O79" i="1"/>
  <c r="P79" i="1"/>
  <c r="J80" i="1"/>
  <c r="M80" i="1"/>
  <c r="N80" i="1"/>
  <c r="O80" i="1"/>
  <c r="P80" i="1"/>
  <c r="J81" i="1"/>
  <c r="K81" i="1"/>
  <c r="M81" i="1"/>
  <c r="N81" i="1"/>
  <c r="O81" i="1"/>
  <c r="P81" i="1"/>
  <c r="M82" i="1"/>
  <c r="N82" i="1"/>
  <c r="O82" i="1"/>
  <c r="P82" i="1"/>
  <c r="J83" i="1"/>
  <c r="M83" i="1"/>
  <c r="N83" i="1"/>
  <c r="O83" i="1"/>
  <c r="P83" i="1"/>
  <c r="J84" i="1"/>
  <c r="K84" i="1"/>
  <c r="M84" i="1"/>
  <c r="N84" i="1"/>
  <c r="P84" i="1"/>
  <c r="J85" i="1"/>
  <c r="K85" i="1"/>
  <c r="M85" i="1"/>
  <c r="N85" i="1"/>
  <c r="O85" i="1"/>
  <c r="P85" i="1"/>
  <c r="J86" i="1"/>
  <c r="M86" i="1"/>
  <c r="N86" i="1"/>
  <c r="O86" i="1"/>
  <c r="P86" i="1"/>
  <c r="J87" i="1"/>
  <c r="K87" i="1"/>
  <c r="M87" i="1"/>
  <c r="N87" i="1"/>
  <c r="O87" i="1"/>
  <c r="P87" i="1"/>
  <c r="J88" i="1"/>
  <c r="M88" i="1"/>
  <c r="N88" i="1"/>
  <c r="O88" i="1"/>
  <c r="P88" i="1"/>
  <c r="J89" i="1"/>
  <c r="M89" i="1"/>
  <c r="N89" i="1"/>
  <c r="O89" i="1"/>
  <c r="P89" i="1"/>
  <c r="J90" i="1"/>
  <c r="K90" i="1"/>
  <c r="M90" i="1"/>
  <c r="N90" i="1"/>
  <c r="P90" i="1"/>
  <c r="J91" i="1"/>
  <c r="M91" i="1"/>
  <c r="N91" i="1"/>
  <c r="O91" i="1"/>
  <c r="P91" i="1"/>
  <c r="J92" i="1"/>
  <c r="M92" i="1"/>
  <c r="N92" i="1"/>
  <c r="O92" i="1"/>
  <c r="J93" i="1"/>
  <c r="K93" i="1"/>
  <c r="M93" i="1"/>
  <c r="N93" i="1"/>
  <c r="O93" i="1"/>
  <c r="P93" i="1"/>
  <c r="M94" i="1"/>
  <c r="N94" i="1"/>
  <c r="O94" i="1"/>
  <c r="P94" i="1"/>
  <c r="J95" i="1"/>
  <c r="M95" i="1"/>
  <c r="N95" i="1"/>
  <c r="O95" i="1"/>
  <c r="J96" i="1"/>
  <c r="K96" i="1"/>
  <c r="M96" i="1"/>
  <c r="N96" i="1"/>
  <c r="P96" i="1"/>
  <c r="M97" i="1"/>
  <c r="N97" i="1"/>
  <c r="O97" i="1"/>
  <c r="P97" i="1"/>
  <c r="J98" i="1"/>
  <c r="M98" i="1"/>
  <c r="N98" i="1"/>
  <c r="O98" i="1"/>
  <c r="J99" i="1"/>
  <c r="K99" i="1"/>
  <c r="M99" i="1"/>
  <c r="N99" i="1"/>
  <c r="O99" i="1"/>
  <c r="P99" i="1"/>
  <c r="J100" i="1"/>
  <c r="M100" i="1"/>
  <c r="N100" i="1"/>
  <c r="O100" i="1"/>
  <c r="P100" i="1"/>
  <c r="J101" i="1"/>
  <c r="K101" i="1"/>
  <c r="M101" i="1"/>
  <c r="N101" i="1"/>
  <c r="O101" i="1"/>
  <c r="P101" i="1"/>
  <c r="J102" i="1"/>
  <c r="K102" i="1"/>
  <c r="M102" i="1"/>
  <c r="N102" i="1"/>
  <c r="P102" i="1"/>
  <c r="M103" i="1"/>
  <c r="N103" i="1"/>
  <c r="O103" i="1"/>
  <c r="P103" i="1"/>
  <c r="J104" i="1"/>
  <c r="M104" i="1"/>
  <c r="N104" i="1"/>
  <c r="O104" i="1"/>
  <c r="J105" i="1"/>
  <c r="K105" i="1"/>
  <c r="M105" i="1"/>
  <c r="N105" i="1"/>
  <c r="O105" i="1"/>
  <c r="P105" i="1"/>
  <c r="J106" i="1"/>
  <c r="M106" i="1"/>
  <c r="N106" i="1"/>
  <c r="O106" i="1"/>
  <c r="P106" i="1"/>
  <c r="J107" i="1"/>
  <c r="M107" i="1"/>
  <c r="N107" i="1"/>
  <c r="O107" i="1"/>
  <c r="P107" i="1"/>
  <c r="J108" i="1"/>
  <c r="K108" i="1"/>
  <c r="M108" i="1"/>
  <c r="N108" i="1"/>
  <c r="P108" i="1"/>
  <c r="M109" i="1"/>
  <c r="N109" i="1"/>
  <c r="O109" i="1"/>
  <c r="P109" i="1"/>
  <c r="J110" i="1"/>
  <c r="M110" i="1"/>
  <c r="N110" i="1"/>
  <c r="O110" i="1"/>
  <c r="P110" i="1"/>
  <c r="J111" i="1"/>
  <c r="K111" i="1"/>
  <c r="M111" i="1"/>
  <c r="N111" i="1"/>
  <c r="O111" i="1"/>
  <c r="P111" i="1"/>
  <c r="J112" i="1"/>
  <c r="M112" i="1"/>
  <c r="N112" i="1"/>
  <c r="O112" i="1"/>
  <c r="P112" i="1"/>
  <c r="J113" i="1"/>
  <c r="M113" i="1"/>
  <c r="N113" i="1"/>
  <c r="O113" i="1"/>
  <c r="P113" i="1"/>
  <c r="J114" i="1"/>
  <c r="K114" i="1"/>
  <c r="M114" i="1"/>
  <c r="N114" i="1"/>
  <c r="P114" i="1"/>
  <c r="J115" i="1"/>
  <c r="M115" i="1"/>
  <c r="N115" i="1"/>
  <c r="O115" i="1"/>
  <c r="P115" i="1"/>
  <c r="J116" i="1"/>
  <c r="M116" i="1"/>
  <c r="N116" i="1"/>
  <c r="O116" i="1"/>
  <c r="P116" i="1"/>
  <c r="J117" i="1"/>
  <c r="K117" i="1"/>
  <c r="M117" i="1"/>
  <c r="N117" i="1"/>
  <c r="O117" i="1"/>
  <c r="P117" i="1"/>
  <c r="J118" i="1"/>
  <c r="M118" i="1"/>
  <c r="N118" i="1"/>
  <c r="O118" i="1"/>
  <c r="P118" i="1"/>
  <c r="J119" i="1"/>
  <c r="M119" i="1"/>
  <c r="N119" i="1"/>
  <c r="O119" i="1"/>
  <c r="J120" i="1"/>
  <c r="K120" i="1"/>
  <c r="M120" i="1"/>
  <c r="N120" i="1"/>
  <c r="P120" i="1"/>
  <c r="J121" i="1"/>
  <c r="M121" i="1"/>
  <c r="N121" i="1"/>
  <c r="O121" i="1"/>
  <c r="P121" i="1"/>
  <c r="J122" i="1"/>
  <c r="M122" i="1"/>
  <c r="N122" i="1"/>
  <c r="O122" i="1"/>
  <c r="P122" i="1"/>
  <c r="J123" i="1"/>
  <c r="K123" i="1"/>
  <c r="M123" i="1"/>
  <c r="N123" i="1"/>
  <c r="O123" i="1"/>
  <c r="P123" i="1"/>
  <c r="M124" i="1"/>
  <c r="N124" i="1"/>
  <c r="O124" i="1"/>
  <c r="P124" i="1"/>
  <c r="J125" i="1"/>
  <c r="M125" i="1"/>
  <c r="N125" i="1"/>
  <c r="O125" i="1"/>
  <c r="J126" i="1"/>
  <c r="K126" i="1"/>
  <c r="M126" i="1"/>
  <c r="N126" i="1"/>
  <c r="P126" i="1"/>
  <c r="J127" i="1"/>
  <c r="M127" i="1"/>
  <c r="N127" i="1"/>
  <c r="O127" i="1"/>
  <c r="P127" i="1"/>
  <c r="J128" i="1"/>
  <c r="M128" i="1"/>
  <c r="N128" i="1"/>
  <c r="O128" i="1"/>
  <c r="J129" i="1"/>
  <c r="K129" i="1"/>
  <c r="M129" i="1"/>
  <c r="N129" i="1"/>
  <c r="O129" i="1"/>
  <c r="P129" i="1"/>
  <c r="M130" i="1"/>
  <c r="N130" i="1"/>
  <c r="O130" i="1"/>
  <c r="P130" i="1"/>
  <c r="J131" i="1"/>
  <c r="M131" i="1"/>
  <c r="N131" i="1"/>
  <c r="O131" i="1"/>
  <c r="J132" i="1"/>
  <c r="K132" i="1"/>
  <c r="M132" i="1"/>
  <c r="N132" i="1"/>
  <c r="P132" i="1"/>
  <c r="J133" i="1"/>
  <c r="M133" i="1"/>
  <c r="N133" i="1"/>
  <c r="O133" i="1"/>
  <c r="P133" i="1"/>
  <c r="J134" i="1"/>
  <c r="M134" i="1"/>
  <c r="N134" i="1"/>
  <c r="O134" i="1"/>
  <c r="P134" i="1"/>
  <c r="J135" i="1"/>
  <c r="K135" i="1"/>
  <c r="M135" i="1"/>
  <c r="N135" i="1"/>
  <c r="O135" i="1"/>
  <c r="P135" i="1"/>
  <c r="M136" i="1"/>
  <c r="N136" i="1"/>
  <c r="O136" i="1"/>
  <c r="P136" i="1"/>
  <c r="J137" i="1"/>
  <c r="M137" i="1"/>
  <c r="N137" i="1"/>
  <c r="O137" i="1"/>
  <c r="P137" i="1"/>
  <c r="J138" i="1"/>
  <c r="K138" i="1"/>
  <c r="M138" i="1"/>
  <c r="N138" i="1"/>
  <c r="P138" i="1"/>
  <c r="J139" i="1"/>
  <c r="M139" i="1"/>
  <c r="N139" i="1"/>
  <c r="O139" i="1"/>
  <c r="P139" i="1"/>
  <c r="J140" i="1"/>
  <c r="M140" i="1"/>
  <c r="N140" i="1"/>
  <c r="O140" i="1"/>
  <c r="J141" i="1"/>
  <c r="K141" i="1"/>
  <c r="M141" i="1"/>
  <c r="N141" i="1"/>
  <c r="O141" i="1"/>
  <c r="P141" i="1"/>
  <c r="J142" i="1"/>
  <c r="M142" i="1"/>
  <c r="N142" i="1"/>
  <c r="O142" i="1"/>
  <c r="P142" i="1"/>
  <c r="J143" i="1"/>
  <c r="M143" i="1"/>
  <c r="N143" i="1"/>
  <c r="O143" i="1"/>
  <c r="P143" i="1"/>
  <c r="J144" i="1"/>
  <c r="K144" i="1"/>
  <c r="M144" i="1"/>
  <c r="N144" i="1"/>
  <c r="P144" i="1"/>
  <c r="J145" i="1"/>
  <c r="M145" i="1"/>
  <c r="N145" i="1"/>
  <c r="O145" i="1"/>
  <c r="P145" i="1"/>
  <c r="J146" i="1"/>
  <c r="M146" i="1"/>
  <c r="N146" i="1"/>
  <c r="O146" i="1"/>
  <c r="J147" i="1"/>
  <c r="K147" i="1"/>
  <c r="M147" i="1"/>
  <c r="N147" i="1"/>
  <c r="O147" i="1"/>
  <c r="P147" i="1"/>
  <c r="J148" i="1"/>
  <c r="M148" i="1"/>
  <c r="N148" i="1"/>
  <c r="O148" i="1"/>
  <c r="P148" i="1"/>
  <c r="J149" i="1"/>
  <c r="M149" i="1"/>
  <c r="N149" i="1"/>
  <c r="O149" i="1"/>
  <c r="P149" i="1"/>
  <c r="J150" i="1"/>
  <c r="K150" i="1"/>
  <c r="M150" i="1"/>
  <c r="N150" i="1"/>
  <c r="P150" i="1"/>
  <c r="J151" i="1"/>
  <c r="M151" i="1"/>
  <c r="N151" i="1"/>
  <c r="O151" i="1"/>
  <c r="P151" i="1"/>
  <c r="J152" i="1"/>
  <c r="M152" i="1"/>
  <c r="N152" i="1"/>
  <c r="O152" i="1"/>
  <c r="J153" i="1"/>
  <c r="K153" i="1"/>
  <c r="M153" i="1"/>
  <c r="N153" i="1"/>
  <c r="O153" i="1"/>
  <c r="P153" i="1"/>
  <c r="J154" i="1"/>
  <c r="M154" i="1"/>
  <c r="N154" i="1"/>
  <c r="O154" i="1"/>
  <c r="P154" i="1"/>
  <c r="J155" i="1"/>
  <c r="M155" i="1"/>
  <c r="N155" i="1"/>
  <c r="O155" i="1"/>
  <c r="P155" i="1"/>
  <c r="J156" i="1"/>
  <c r="K156" i="1"/>
  <c r="M156" i="1"/>
  <c r="N156" i="1"/>
  <c r="P156" i="1"/>
  <c r="M157" i="1"/>
  <c r="N157" i="1"/>
  <c r="O157" i="1"/>
  <c r="P157" i="1"/>
  <c r="J158" i="1"/>
  <c r="M158" i="1"/>
  <c r="N158" i="1"/>
  <c r="O158" i="1"/>
  <c r="P158" i="1"/>
  <c r="J159" i="1"/>
  <c r="K159" i="1"/>
  <c r="M159" i="1"/>
  <c r="N159" i="1"/>
  <c r="O159" i="1"/>
  <c r="P159" i="1"/>
  <c r="J160" i="1"/>
  <c r="M160" i="1"/>
  <c r="N160" i="1"/>
  <c r="O160" i="1"/>
  <c r="P160" i="1"/>
  <c r="J161" i="1"/>
  <c r="M161" i="1"/>
  <c r="N161" i="1"/>
  <c r="O161" i="1"/>
  <c r="P161" i="1"/>
  <c r="J162" i="1"/>
  <c r="K162" i="1"/>
  <c r="M162" i="1"/>
  <c r="N162" i="1"/>
  <c r="P162" i="1"/>
  <c r="J163" i="1"/>
  <c r="M163" i="1"/>
  <c r="N163" i="1"/>
  <c r="O163" i="1"/>
  <c r="P163" i="1"/>
  <c r="J164" i="1"/>
  <c r="M164" i="1"/>
  <c r="N164" i="1"/>
  <c r="O164" i="1"/>
  <c r="J165" i="1"/>
  <c r="K165" i="1"/>
  <c r="M165" i="1"/>
  <c r="N165" i="1"/>
  <c r="O165" i="1"/>
  <c r="P165" i="1"/>
  <c r="M166" i="1"/>
  <c r="N166" i="1"/>
  <c r="O166" i="1"/>
  <c r="P166" i="1"/>
  <c r="J167" i="1"/>
  <c r="M167" i="1"/>
  <c r="N167" i="1"/>
  <c r="O167" i="1"/>
  <c r="J168" i="1"/>
  <c r="K168" i="1"/>
  <c r="M168" i="1"/>
  <c r="N168" i="1"/>
  <c r="P168" i="1"/>
  <c r="M169" i="1"/>
  <c r="N169" i="1"/>
  <c r="O169" i="1"/>
  <c r="P169" i="1"/>
  <c r="J170" i="1"/>
  <c r="M170" i="1"/>
  <c r="N170" i="1"/>
  <c r="O170" i="1"/>
  <c r="P170" i="1"/>
  <c r="J171" i="1"/>
  <c r="K171" i="1"/>
  <c r="M171" i="1"/>
  <c r="N171" i="1"/>
  <c r="O171" i="1"/>
  <c r="P171" i="1"/>
  <c r="J172" i="1"/>
  <c r="M172" i="1"/>
  <c r="N172" i="1"/>
  <c r="O172" i="1"/>
  <c r="P172" i="1"/>
  <c r="J173" i="1"/>
  <c r="M173" i="1"/>
  <c r="N173" i="1"/>
  <c r="O173" i="1"/>
  <c r="P173" i="1"/>
  <c r="J174" i="1"/>
  <c r="K174" i="1"/>
  <c r="M174" i="1"/>
  <c r="N174" i="1"/>
  <c r="P174" i="1"/>
  <c r="J175" i="1"/>
  <c r="M175" i="1"/>
  <c r="N175" i="1"/>
  <c r="O175" i="1"/>
  <c r="P175" i="1"/>
  <c r="J176" i="1"/>
  <c r="M176" i="1"/>
  <c r="N176" i="1"/>
  <c r="O176" i="1"/>
  <c r="P176" i="1"/>
  <c r="J177" i="1"/>
  <c r="K177" i="1"/>
  <c r="M177" i="1"/>
  <c r="N177" i="1"/>
  <c r="O177" i="1"/>
  <c r="P177" i="1"/>
  <c r="M178" i="1"/>
  <c r="N178" i="1"/>
  <c r="O178" i="1"/>
  <c r="P178" i="1"/>
  <c r="J179" i="1"/>
  <c r="M179" i="1"/>
  <c r="N179" i="1"/>
  <c r="O179" i="1"/>
  <c r="J180" i="1"/>
  <c r="K180" i="1"/>
  <c r="M180" i="1"/>
  <c r="N180" i="1"/>
  <c r="P180" i="1"/>
  <c r="M181" i="1"/>
  <c r="N181" i="1"/>
  <c r="O181" i="1"/>
  <c r="P181" i="1"/>
  <c r="J182" i="1"/>
  <c r="M182" i="1"/>
  <c r="N182" i="1"/>
  <c r="O182" i="1"/>
  <c r="J183" i="1"/>
  <c r="K183" i="1"/>
  <c r="M183" i="1"/>
  <c r="N183" i="1"/>
  <c r="O183" i="1"/>
  <c r="P183" i="1"/>
  <c r="J184" i="1"/>
  <c r="M184" i="1"/>
  <c r="N184" i="1"/>
  <c r="O184" i="1"/>
  <c r="P184" i="1"/>
  <c r="J185" i="1"/>
  <c r="M185" i="1"/>
  <c r="N185" i="1"/>
  <c r="O185" i="1"/>
  <c r="P185" i="1"/>
  <c r="J186" i="1"/>
  <c r="K186" i="1"/>
  <c r="M186" i="1"/>
  <c r="N186" i="1"/>
  <c r="P186" i="1"/>
  <c r="M187" i="1"/>
  <c r="N187" i="1"/>
  <c r="O187" i="1"/>
  <c r="P187" i="1"/>
  <c r="J188" i="1"/>
  <c r="M188" i="1"/>
  <c r="N188" i="1"/>
  <c r="O188" i="1"/>
  <c r="J189" i="1"/>
  <c r="K189" i="1"/>
  <c r="M189" i="1"/>
  <c r="N189" i="1"/>
  <c r="O189" i="1"/>
  <c r="P189" i="1"/>
  <c r="J190" i="1"/>
  <c r="M190" i="1"/>
  <c r="N190" i="1"/>
  <c r="O190" i="1"/>
  <c r="P190" i="1"/>
  <c r="J191" i="1"/>
  <c r="M191" i="1"/>
  <c r="N191" i="1"/>
  <c r="O191" i="1"/>
  <c r="P191" i="1"/>
  <c r="J192" i="1"/>
  <c r="K192" i="1"/>
  <c r="M192" i="1"/>
  <c r="N192" i="1"/>
  <c r="P192" i="1"/>
  <c r="J193" i="1"/>
  <c r="M193" i="1"/>
  <c r="N193" i="1"/>
  <c r="O193" i="1"/>
  <c r="P193" i="1"/>
  <c r="J194" i="1"/>
  <c r="M194" i="1"/>
  <c r="N194" i="1"/>
  <c r="O194" i="1"/>
  <c r="P194" i="1"/>
  <c r="J195" i="1"/>
  <c r="K195" i="1"/>
  <c r="M195" i="1"/>
  <c r="N195" i="1"/>
  <c r="O195" i="1"/>
  <c r="P195" i="1"/>
  <c r="J196" i="1"/>
  <c r="M196" i="1"/>
  <c r="N196" i="1"/>
  <c r="O196" i="1"/>
  <c r="P196" i="1"/>
  <c r="J197" i="1"/>
  <c r="M197" i="1"/>
  <c r="N197" i="1"/>
  <c r="O197" i="1"/>
  <c r="P197" i="1"/>
  <c r="J198" i="1"/>
  <c r="K198" i="1"/>
  <c r="M198" i="1"/>
  <c r="N198" i="1"/>
  <c r="P198" i="1"/>
  <c r="J199" i="1"/>
  <c r="M199" i="1"/>
  <c r="N199" i="1"/>
  <c r="O199" i="1"/>
  <c r="P199" i="1"/>
  <c r="J200" i="1"/>
  <c r="M200" i="1"/>
  <c r="N200" i="1"/>
  <c r="O200" i="1"/>
  <c r="J201" i="1"/>
  <c r="K201" i="1"/>
  <c r="M201" i="1"/>
  <c r="N201" i="1"/>
  <c r="O201" i="1"/>
  <c r="P201" i="1"/>
  <c r="J202" i="1"/>
  <c r="M202" i="1"/>
  <c r="N202" i="1"/>
  <c r="O202" i="1"/>
  <c r="P202" i="1"/>
  <c r="J203" i="1"/>
  <c r="M203" i="1"/>
  <c r="N203" i="1"/>
  <c r="O203" i="1"/>
  <c r="J204" i="1"/>
  <c r="K204" i="1"/>
  <c r="M204" i="1"/>
  <c r="N204" i="1"/>
  <c r="P204" i="1"/>
  <c r="J205" i="1"/>
  <c r="M205" i="1"/>
  <c r="N205" i="1"/>
  <c r="O205" i="1"/>
  <c r="P205" i="1"/>
  <c r="J206" i="1"/>
  <c r="M206" i="1"/>
  <c r="N206" i="1"/>
  <c r="O206" i="1"/>
  <c r="P206" i="1"/>
  <c r="J207" i="1"/>
  <c r="K207" i="1"/>
  <c r="M207" i="1"/>
  <c r="N207" i="1"/>
  <c r="O207" i="1"/>
  <c r="P207" i="1"/>
  <c r="M208" i="1"/>
  <c r="N208" i="1"/>
  <c r="O208" i="1"/>
  <c r="P208" i="1"/>
  <c r="J209" i="1"/>
  <c r="M209" i="1"/>
  <c r="N209" i="1"/>
  <c r="O209" i="1"/>
  <c r="J210" i="1"/>
  <c r="K210" i="1"/>
  <c r="M210" i="1"/>
  <c r="N210" i="1"/>
  <c r="P210" i="1"/>
  <c r="J211" i="1"/>
  <c r="M211" i="1"/>
  <c r="N211" i="1"/>
  <c r="O211" i="1"/>
  <c r="P211" i="1"/>
  <c r="J212" i="1"/>
  <c r="M212" i="1"/>
  <c r="N212" i="1"/>
  <c r="O212" i="1"/>
  <c r="P212" i="1"/>
  <c r="J213" i="1"/>
  <c r="K213" i="1"/>
  <c r="M213" i="1"/>
  <c r="N213" i="1"/>
  <c r="O213" i="1"/>
  <c r="P213" i="1"/>
  <c r="J214" i="1"/>
  <c r="M214" i="1"/>
  <c r="N214" i="1"/>
  <c r="O214" i="1"/>
  <c r="P214" i="1"/>
  <c r="J215" i="1"/>
  <c r="M215" i="1"/>
  <c r="N215" i="1"/>
  <c r="O215" i="1"/>
  <c r="J216" i="1"/>
  <c r="K216" i="1"/>
  <c r="M216" i="1"/>
  <c r="N216" i="1"/>
  <c r="P216" i="1"/>
  <c r="J217" i="1"/>
  <c r="M217" i="1"/>
  <c r="N217" i="1"/>
  <c r="O217" i="1"/>
  <c r="P217" i="1"/>
  <c r="J218" i="1"/>
  <c r="M218" i="1"/>
  <c r="N218" i="1"/>
  <c r="O218" i="1"/>
  <c r="P218" i="1"/>
  <c r="J219" i="1"/>
  <c r="K219" i="1"/>
  <c r="M219" i="1"/>
  <c r="N219" i="1"/>
  <c r="O219" i="1"/>
  <c r="P219" i="1"/>
  <c r="K220" i="1"/>
  <c r="M220" i="1"/>
  <c r="N220" i="1"/>
  <c r="O220" i="1"/>
  <c r="P220" i="1"/>
  <c r="J221" i="1"/>
  <c r="M221" i="1"/>
  <c r="N221" i="1"/>
  <c r="O221" i="1"/>
  <c r="P221" i="1"/>
  <c r="J222" i="1"/>
  <c r="K222" i="1"/>
  <c r="M222" i="1"/>
  <c r="N222" i="1"/>
  <c r="P222" i="1"/>
  <c r="J223" i="1"/>
  <c r="M223" i="1"/>
  <c r="N223" i="1"/>
  <c r="O223" i="1"/>
  <c r="P223" i="1"/>
  <c r="J224" i="1"/>
  <c r="M224" i="1"/>
  <c r="N224" i="1"/>
  <c r="O224" i="1"/>
  <c r="J225" i="1"/>
  <c r="K225" i="1"/>
  <c r="M225" i="1"/>
  <c r="N225" i="1"/>
  <c r="O225" i="1"/>
  <c r="P225" i="1"/>
  <c r="J226" i="1"/>
  <c r="M226" i="1"/>
  <c r="N226" i="1"/>
  <c r="O226" i="1"/>
  <c r="P226" i="1"/>
  <c r="J227" i="1"/>
  <c r="K227" i="1"/>
  <c r="M227" i="1"/>
  <c r="N227" i="1"/>
  <c r="O227" i="1"/>
  <c r="P227" i="1"/>
  <c r="J228" i="1"/>
  <c r="K228" i="1"/>
  <c r="M228" i="1"/>
  <c r="N228" i="1"/>
  <c r="P228" i="1"/>
  <c r="M229" i="1"/>
  <c r="N229" i="1"/>
  <c r="O229" i="1"/>
  <c r="P229" i="1"/>
  <c r="J230" i="1"/>
  <c r="M230" i="1"/>
  <c r="N230" i="1"/>
  <c r="O230" i="1"/>
  <c r="J231" i="1"/>
  <c r="K231" i="1"/>
  <c r="M231" i="1"/>
  <c r="N231" i="1"/>
  <c r="O231" i="1"/>
  <c r="P231" i="1"/>
  <c r="J232" i="1"/>
  <c r="M232" i="1"/>
  <c r="N232" i="1"/>
  <c r="O232" i="1"/>
  <c r="P232" i="1"/>
  <c r="J233" i="1"/>
  <c r="M233" i="1"/>
  <c r="N233" i="1"/>
  <c r="O233" i="1"/>
  <c r="P233" i="1"/>
  <c r="J234" i="1"/>
  <c r="K234" i="1"/>
  <c r="M234" i="1"/>
  <c r="N234" i="1"/>
  <c r="P234" i="1"/>
  <c r="M235" i="1"/>
  <c r="N235" i="1"/>
  <c r="O235" i="1"/>
  <c r="P235" i="1"/>
  <c r="J236" i="1"/>
  <c r="M236" i="1"/>
  <c r="N236" i="1"/>
  <c r="O236" i="1"/>
  <c r="J237" i="1"/>
  <c r="K237" i="1"/>
  <c r="M237" i="1"/>
  <c r="N237" i="1"/>
  <c r="O237" i="1"/>
  <c r="P237" i="1"/>
  <c r="J238" i="1"/>
  <c r="M238" i="1"/>
  <c r="N238" i="1"/>
  <c r="O238" i="1"/>
  <c r="P238" i="1"/>
  <c r="J239" i="1"/>
  <c r="M239" i="1"/>
  <c r="N239" i="1"/>
  <c r="O239" i="1"/>
  <c r="P239" i="1"/>
  <c r="J240" i="1"/>
  <c r="K240" i="1"/>
  <c r="M240" i="1"/>
  <c r="N240" i="1"/>
  <c r="P240" i="1"/>
  <c r="K241" i="1"/>
  <c r="M241" i="1"/>
  <c r="N241" i="1"/>
  <c r="O241" i="1"/>
  <c r="P241" i="1"/>
  <c r="J242" i="1"/>
  <c r="M242" i="1"/>
  <c r="N242" i="1"/>
  <c r="O242" i="1"/>
  <c r="P242" i="1"/>
  <c r="J243" i="1"/>
  <c r="K243" i="1"/>
  <c r="M243" i="1"/>
  <c r="N243" i="1"/>
  <c r="O243" i="1"/>
  <c r="P243" i="1"/>
  <c r="J244" i="1"/>
  <c r="M244" i="1"/>
  <c r="N244" i="1"/>
  <c r="O244" i="1"/>
  <c r="P244" i="1"/>
  <c r="J245" i="1"/>
  <c r="M245" i="1"/>
  <c r="N245" i="1"/>
  <c r="O245" i="1"/>
  <c r="P245" i="1"/>
  <c r="J246" i="1"/>
  <c r="K246" i="1"/>
  <c r="M246" i="1"/>
  <c r="N246" i="1"/>
  <c r="P246" i="1"/>
  <c r="J247" i="1"/>
  <c r="M247" i="1"/>
  <c r="N247" i="1"/>
  <c r="O247" i="1"/>
  <c r="P247" i="1"/>
  <c r="J248" i="1"/>
  <c r="M248" i="1"/>
  <c r="N248" i="1"/>
  <c r="O248" i="1"/>
  <c r="P248" i="1"/>
  <c r="J249" i="1"/>
  <c r="K249" i="1"/>
  <c r="M249" i="1"/>
  <c r="N249" i="1"/>
  <c r="O249" i="1"/>
  <c r="P249" i="1"/>
  <c r="J250" i="1"/>
  <c r="M250" i="1"/>
  <c r="N250" i="1"/>
  <c r="O250" i="1"/>
  <c r="P250" i="1"/>
  <c r="J251" i="1"/>
  <c r="M251" i="1"/>
  <c r="N251" i="1"/>
  <c r="O251" i="1"/>
  <c r="P251" i="1"/>
  <c r="J252" i="1"/>
  <c r="K252" i="1"/>
  <c r="M252" i="1"/>
  <c r="N252" i="1"/>
  <c r="P252" i="1"/>
  <c r="J253" i="1"/>
  <c r="M253" i="1"/>
  <c r="N253" i="1"/>
  <c r="O253" i="1"/>
  <c r="P253" i="1"/>
  <c r="J254" i="1"/>
  <c r="M254" i="1"/>
  <c r="N254" i="1"/>
  <c r="O254" i="1"/>
  <c r="J255" i="1"/>
  <c r="K255" i="1"/>
  <c r="M255" i="1"/>
  <c r="N255" i="1"/>
  <c r="O255" i="1"/>
  <c r="P255" i="1"/>
  <c r="J256" i="1"/>
  <c r="M256" i="1"/>
  <c r="N256" i="1"/>
  <c r="O256" i="1"/>
  <c r="P256" i="1"/>
  <c r="J257" i="1"/>
  <c r="M257" i="1"/>
  <c r="N257" i="1"/>
  <c r="O257" i="1"/>
  <c r="P257" i="1"/>
  <c r="J258" i="1"/>
  <c r="K258" i="1"/>
  <c r="M258" i="1"/>
  <c r="N258" i="1"/>
  <c r="P258" i="1"/>
  <c r="J259" i="1"/>
  <c r="M259" i="1"/>
  <c r="N259" i="1"/>
  <c r="O259" i="1"/>
  <c r="P259" i="1"/>
  <c r="J260" i="1"/>
  <c r="M260" i="1"/>
  <c r="N260" i="1"/>
  <c r="O260" i="1"/>
  <c r="P260" i="1"/>
  <c r="J261" i="1"/>
  <c r="K261" i="1"/>
  <c r="M261" i="1"/>
  <c r="N261" i="1"/>
  <c r="O261" i="1"/>
  <c r="P261" i="1"/>
  <c r="J262" i="1"/>
  <c r="M262" i="1"/>
  <c r="N262" i="1"/>
  <c r="O262" i="1"/>
  <c r="P262" i="1"/>
  <c r="J263" i="1"/>
  <c r="M263" i="1"/>
  <c r="N263" i="1"/>
  <c r="O263" i="1"/>
  <c r="J264" i="1"/>
  <c r="K264" i="1"/>
  <c r="M264" i="1"/>
  <c r="N264" i="1"/>
  <c r="P264" i="1"/>
  <c r="J265" i="1"/>
  <c r="M265" i="1"/>
  <c r="N265" i="1"/>
  <c r="O265" i="1"/>
  <c r="P265" i="1"/>
  <c r="J266" i="1"/>
  <c r="M266" i="1"/>
  <c r="N266" i="1"/>
  <c r="O266" i="1"/>
  <c r="P266" i="1"/>
  <c r="J267" i="1"/>
  <c r="K267" i="1"/>
  <c r="M267" i="1"/>
  <c r="N267" i="1"/>
  <c r="O267" i="1"/>
  <c r="P267" i="1"/>
  <c r="M268" i="1"/>
  <c r="N268" i="1"/>
  <c r="O268" i="1"/>
  <c r="P268" i="1"/>
  <c r="J269" i="1"/>
  <c r="K269" i="1"/>
  <c r="M269" i="1"/>
  <c r="N269" i="1"/>
  <c r="O269" i="1"/>
  <c r="P269" i="1"/>
  <c r="J270" i="1"/>
  <c r="K270" i="1"/>
  <c r="M270" i="1"/>
  <c r="N270" i="1"/>
  <c r="P270" i="1"/>
  <c r="J271" i="1"/>
  <c r="M271" i="1"/>
  <c r="N271" i="1"/>
  <c r="O271" i="1"/>
  <c r="P271" i="1"/>
  <c r="J272" i="1"/>
  <c r="M272" i="1"/>
  <c r="N272" i="1"/>
  <c r="O272" i="1"/>
  <c r="J273" i="1"/>
  <c r="K273" i="1"/>
  <c r="M273" i="1"/>
  <c r="N273" i="1"/>
  <c r="O273" i="1"/>
  <c r="P273" i="1"/>
  <c r="J274" i="1"/>
  <c r="M274" i="1"/>
  <c r="N274" i="1"/>
  <c r="O274" i="1"/>
  <c r="P274" i="1"/>
  <c r="J275" i="1"/>
  <c r="M275" i="1"/>
  <c r="N275" i="1"/>
  <c r="O275" i="1"/>
  <c r="J276" i="1"/>
  <c r="K276" i="1"/>
  <c r="M276" i="1"/>
  <c r="N276" i="1"/>
  <c r="P276" i="1"/>
  <c r="M277" i="1"/>
  <c r="N277" i="1"/>
  <c r="O277" i="1"/>
  <c r="P277" i="1"/>
  <c r="J278" i="1"/>
  <c r="M278" i="1"/>
  <c r="N278" i="1"/>
  <c r="O278" i="1"/>
  <c r="P278" i="1"/>
  <c r="J279" i="1"/>
  <c r="K279" i="1"/>
  <c r="M279" i="1"/>
  <c r="N279" i="1"/>
  <c r="O279" i="1"/>
  <c r="P279" i="1"/>
  <c r="M280" i="1"/>
  <c r="N280" i="1"/>
  <c r="O280" i="1"/>
  <c r="P280" i="1"/>
  <c r="J281" i="1"/>
  <c r="M281" i="1"/>
  <c r="N281" i="1"/>
  <c r="O281" i="1"/>
  <c r="P281" i="1"/>
  <c r="J282" i="1"/>
  <c r="K282" i="1"/>
  <c r="M282" i="1"/>
  <c r="N282" i="1"/>
  <c r="P282" i="1"/>
  <c r="J283" i="1"/>
  <c r="M283" i="1"/>
  <c r="N283" i="1"/>
  <c r="O283" i="1"/>
  <c r="P283" i="1"/>
  <c r="J284" i="1"/>
  <c r="M284" i="1"/>
  <c r="N284" i="1"/>
  <c r="O284" i="1"/>
  <c r="P284" i="1"/>
  <c r="J285" i="1"/>
  <c r="K285" i="1"/>
  <c r="M285" i="1"/>
  <c r="N285" i="1"/>
  <c r="O285" i="1"/>
  <c r="P285" i="1"/>
  <c r="J286" i="1"/>
  <c r="M286" i="1"/>
  <c r="N286" i="1"/>
  <c r="O286" i="1"/>
  <c r="P286" i="1"/>
  <c r="J287" i="1"/>
  <c r="M287" i="1"/>
  <c r="N287" i="1"/>
  <c r="O287" i="1"/>
  <c r="P287" i="1"/>
  <c r="J288" i="1"/>
  <c r="K288" i="1"/>
  <c r="M288" i="1"/>
  <c r="N288" i="1"/>
  <c r="P288" i="1"/>
  <c r="J289" i="1"/>
  <c r="M289" i="1"/>
  <c r="N289" i="1"/>
  <c r="O289" i="1"/>
  <c r="P289" i="1"/>
  <c r="J290" i="1"/>
  <c r="M290" i="1"/>
  <c r="N290" i="1"/>
  <c r="O290" i="1"/>
  <c r="P290" i="1"/>
  <c r="J291" i="1"/>
  <c r="K291" i="1"/>
  <c r="M291" i="1"/>
  <c r="N291" i="1"/>
  <c r="O291" i="1"/>
  <c r="P291" i="1"/>
  <c r="J292" i="1"/>
  <c r="M292" i="1"/>
  <c r="N292" i="1"/>
  <c r="O292" i="1"/>
  <c r="P292" i="1"/>
  <c r="J293" i="1"/>
  <c r="M293" i="1"/>
  <c r="N293" i="1"/>
  <c r="O293" i="1"/>
  <c r="J294" i="1"/>
  <c r="K294" i="1"/>
  <c r="M294" i="1"/>
  <c r="N294" i="1"/>
  <c r="P294" i="1"/>
  <c r="J295" i="1"/>
  <c r="M295" i="1"/>
  <c r="N295" i="1"/>
  <c r="O295" i="1"/>
  <c r="P295" i="1"/>
  <c r="J296" i="1"/>
  <c r="M296" i="1"/>
  <c r="N296" i="1"/>
  <c r="O296" i="1"/>
  <c r="P296" i="1"/>
  <c r="J297" i="1"/>
  <c r="K297" i="1"/>
  <c r="M297" i="1"/>
  <c r="N297" i="1"/>
  <c r="O297" i="1"/>
  <c r="P297" i="1"/>
  <c r="J298" i="1"/>
  <c r="M298" i="1"/>
  <c r="N298" i="1"/>
  <c r="O298" i="1"/>
  <c r="P298" i="1"/>
  <c r="J299" i="1"/>
  <c r="M299" i="1"/>
  <c r="N299" i="1"/>
  <c r="O299" i="1"/>
  <c r="J300" i="1"/>
  <c r="K300" i="1"/>
  <c r="M300" i="1"/>
  <c r="N300" i="1"/>
  <c r="P300" i="1"/>
  <c r="J301" i="1"/>
  <c r="M301" i="1"/>
  <c r="N301" i="1"/>
  <c r="O301" i="1"/>
  <c r="P301" i="1"/>
  <c r="J302" i="1"/>
  <c r="M302" i="1"/>
  <c r="N302" i="1"/>
  <c r="O302" i="1"/>
  <c r="P302" i="1"/>
  <c r="J303" i="1"/>
  <c r="K303" i="1"/>
  <c r="M303" i="1"/>
  <c r="N303" i="1"/>
  <c r="O303" i="1"/>
  <c r="P303" i="1"/>
  <c r="M304" i="1"/>
  <c r="N304" i="1"/>
  <c r="O304" i="1"/>
  <c r="P304" i="1"/>
  <c r="J305" i="1"/>
  <c r="M305" i="1"/>
  <c r="N305" i="1"/>
  <c r="O305" i="1"/>
  <c r="P305" i="1"/>
  <c r="J306" i="1"/>
  <c r="K306" i="1"/>
  <c r="M306" i="1"/>
  <c r="N306" i="1"/>
  <c r="P306" i="1"/>
  <c r="J307" i="1"/>
  <c r="M307" i="1"/>
  <c r="N307" i="1"/>
  <c r="O307" i="1"/>
  <c r="P307" i="1"/>
  <c r="J308" i="1"/>
  <c r="M308" i="1"/>
  <c r="N308" i="1"/>
  <c r="O308" i="1"/>
  <c r="P308" i="1"/>
  <c r="J309" i="1"/>
  <c r="K309" i="1"/>
  <c r="M309" i="1"/>
  <c r="N309" i="1"/>
  <c r="O309" i="1"/>
  <c r="P309" i="1"/>
  <c r="J310" i="1"/>
  <c r="M310" i="1"/>
  <c r="N310" i="1"/>
  <c r="O310" i="1"/>
  <c r="P310" i="1"/>
  <c r="J311" i="1"/>
  <c r="M311" i="1"/>
  <c r="N311" i="1"/>
  <c r="O311" i="1"/>
  <c r="J312" i="1"/>
  <c r="K312" i="1"/>
  <c r="M312" i="1"/>
  <c r="N312" i="1"/>
  <c r="P312" i="1"/>
  <c r="J313" i="1"/>
  <c r="M313" i="1"/>
  <c r="N313" i="1"/>
  <c r="O313" i="1"/>
  <c r="P313" i="1"/>
  <c r="J314" i="1"/>
  <c r="M314" i="1"/>
  <c r="N314" i="1"/>
  <c r="O314" i="1"/>
  <c r="P314" i="1"/>
  <c r="J315" i="1"/>
  <c r="K315" i="1"/>
  <c r="M315" i="1"/>
  <c r="N315" i="1"/>
  <c r="O315" i="1"/>
  <c r="P315" i="1"/>
  <c r="J316" i="1"/>
  <c r="M316" i="1"/>
  <c r="N316" i="1"/>
  <c r="O316" i="1"/>
  <c r="P316" i="1"/>
  <c r="J317" i="1"/>
  <c r="M317" i="1"/>
  <c r="N317" i="1"/>
  <c r="O317" i="1"/>
  <c r="J318" i="1"/>
  <c r="K318" i="1"/>
  <c r="M318" i="1"/>
  <c r="N318" i="1"/>
  <c r="P318" i="1"/>
  <c r="J319" i="1"/>
  <c r="K319" i="1"/>
  <c r="M319" i="1"/>
  <c r="N319" i="1"/>
  <c r="O319" i="1"/>
  <c r="P319" i="1"/>
  <c r="J320" i="1"/>
  <c r="M320" i="1"/>
  <c r="N320" i="1"/>
  <c r="O320" i="1"/>
  <c r="P320" i="1"/>
  <c r="J321" i="1"/>
  <c r="K321" i="1"/>
  <c r="M321" i="1"/>
  <c r="N321" i="1"/>
  <c r="O321" i="1"/>
  <c r="P321" i="1"/>
  <c r="M322" i="1"/>
  <c r="N322" i="1"/>
  <c r="O322" i="1"/>
  <c r="P322" i="1"/>
  <c r="J323" i="1"/>
  <c r="M323" i="1"/>
  <c r="N323" i="1"/>
  <c r="O323" i="1"/>
  <c r="P323" i="1"/>
  <c r="J324" i="1"/>
  <c r="K324" i="1"/>
  <c r="M324" i="1"/>
  <c r="N324" i="1"/>
  <c r="P324" i="1"/>
  <c r="J325" i="1"/>
  <c r="M325" i="1"/>
  <c r="N325" i="1"/>
  <c r="O325" i="1"/>
  <c r="P325" i="1"/>
  <c r="J326" i="1"/>
  <c r="M326" i="1"/>
  <c r="N326" i="1"/>
  <c r="O326" i="1"/>
  <c r="J327" i="1"/>
  <c r="K327" i="1"/>
  <c r="M327" i="1"/>
  <c r="N327" i="1"/>
  <c r="O327" i="1"/>
  <c r="P327" i="1"/>
  <c r="J328" i="1"/>
  <c r="M328" i="1"/>
  <c r="N328" i="1"/>
  <c r="O328" i="1"/>
  <c r="P328" i="1"/>
  <c r="J329" i="1"/>
  <c r="M329" i="1"/>
  <c r="N329" i="1"/>
  <c r="O329" i="1"/>
  <c r="P329" i="1"/>
  <c r="J330" i="1"/>
  <c r="K330" i="1"/>
  <c r="M330" i="1"/>
  <c r="N330" i="1"/>
  <c r="P330" i="1"/>
  <c r="J331" i="1"/>
  <c r="M331" i="1"/>
  <c r="N331" i="1"/>
  <c r="O331" i="1"/>
  <c r="P331" i="1"/>
  <c r="J332" i="1"/>
  <c r="M332" i="1"/>
  <c r="N332" i="1"/>
  <c r="O332" i="1"/>
  <c r="J333" i="1"/>
  <c r="K333" i="1"/>
  <c r="M333" i="1"/>
  <c r="N333" i="1"/>
  <c r="O333" i="1"/>
  <c r="P333" i="1"/>
  <c r="J334" i="1"/>
  <c r="M334" i="1"/>
  <c r="N334" i="1"/>
  <c r="O334" i="1"/>
  <c r="P334" i="1"/>
  <c r="J335" i="1"/>
  <c r="M335" i="1"/>
  <c r="N335" i="1"/>
  <c r="O335" i="1"/>
  <c r="P335" i="1"/>
  <c r="J336" i="1"/>
  <c r="K336" i="1"/>
  <c r="M336" i="1"/>
  <c r="N336" i="1"/>
  <c r="P336" i="1"/>
  <c r="M337" i="1"/>
  <c r="N337" i="1"/>
  <c r="O337" i="1"/>
  <c r="P337" i="1"/>
  <c r="J338" i="1"/>
  <c r="M338" i="1"/>
  <c r="N338" i="1"/>
  <c r="O338" i="1"/>
  <c r="P338" i="1"/>
  <c r="J339" i="1"/>
  <c r="K339" i="1"/>
  <c r="M339" i="1"/>
  <c r="N339" i="1"/>
  <c r="O339" i="1"/>
  <c r="P339" i="1"/>
  <c r="J340" i="1"/>
  <c r="M340" i="1"/>
  <c r="N340" i="1"/>
  <c r="O340" i="1"/>
  <c r="P340" i="1"/>
  <c r="J341" i="1"/>
  <c r="M341" i="1"/>
  <c r="N341" i="1"/>
  <c r="O341" i="1"/>
  <c r="P341" i="1"/>
  <c r="J342" i="1"/>
  <c r="K342" i="1"/>
  <c r="M342" i="1"/>
  <c r="N342" i="1"/>
  <c r="P342" i="1"/>
  <c r="J343" i="1"/>
  <c r="M343" i="1"/>
  <c r="N343" i="1"/>
  <c r="O343" i="1"/>
  <c r="P343" i="1"/>
  <c r="J344" i="1"/>
  <c r="M344" i="1"/>
  <c r="N344" i="1"/>
  <c r="O344" i="1"/>
  <c r="P344" i="1"/>
  <c r="J345" i="1"/>
  <c r="K345" i="1"/>
  <c r="M345" i="1"/>
  <c r="N345" i="1"/>
  <c r="O345" i="1"/>
  <c r="P345" i="1"/>
  <c r="J346" i="1"/>
  <c r="M346" i="1"/>
  <c r="N346" i="1"/>
  <c r="O346" i="1"/>
  <c r="P346" i="1"/>
  <c r="J347" i="1"/>
  <c r="M347" i="1"/>
  <c r="N347" i="1"/>
  <c r="O347" i="1"/>
  <c r="P347" i="1"/>
  <c r="J348" i="1"/>
  <c r="K348" i="1"/>
  <c r="M348" i="1"/>
  <c r="N348" i="1"/>
  <c r="P348" i="1"/>
  <c r="J349" i="1"/>
  <c r="M349" i="1"/>
  <c r="N349" i="1"/>
  <c r="O349" i="1"/>
  <c r="P349" i="1"/>
  <c r="J350" i="1"/>
  <c r="M350" i="1"/>
  <c r="N350" i="1"/>
  <c r="O350" i="1"/>
  <c r="J351" i="1"/>
  <c r="K351" i="1"/>
  <c r="M351" i="1"/>
  <c r="N351" i="1"/>
  <c r="O351" i="1"/>
  <c r="P351" i="1"/>
  <c r="J352" i="1"/>
  <c r="M352" i="1"/>
  <c r="N352" i="1"/>
  <c r="O352" i="1"/>
  <c r="P352" i="1"/>
  <c r="J353" i="1"/>
  <c r="M353" i="1"/>
  <c r="N353" i="1"/>
  <c r="O353" i="1"/>
  <c r="P353" i="1"/>
  <c r="J354" i="1"/>
  <c r="K354" i="1"/>
  <c r="M354" i="1"/>
  <c r="N354" i="1"/>
  <c r="P354" i="1"/>
  <c r="M355" i="1"/>
  <c r="N355" i="1"/>
  <c r="O355" i="1"/>
  <c r="P355" i="1"/>
  <c r="J356" i="1"/>
  <c r="M356" i="1"/>
  <c r="N356" i="1"/>
  <c r="O356" i="1"/>
  <c r="P356" i="1"/>
  <c r="J357" i="1"/>
  <c r="K357" i="1"/>
  <c r="M357" i="1"/>
  <c r="N357" i="1"/>
  <c r="O357" i="1"/>
  <c r="P357" i="1"/>
  <c r="J358" i="1"/>
  <c r="M358" i="1"/>
  <c r="N358" i="1"/>
  <c r="O358" i="1"/>
  <c r="P358" i="1"/>
  <c r="J359" i="1"/>
  <c r="M359" i="1"/>
  <c r="N359" i="1"/>
  <c r="O359" i="1"/>
  <c r="P359" i="1"/>
  <c r="J360" i="1"/>
  <c r="K360" i="1"/>
  <c r="M360" i="1"/>
  <c r="N360" i="1"/>
  <c r="P360" i="1"/>
  <c r="J361" i="1"/>
  <c r="M361" i="1"/>
  <c r="N361" i="1"/>
  <c r="O361" i="1"/>
  <c r="P361" i="1"/>
  <c r="J362" i="1"/>
  <c r="M362" i="1"/>
  <c r="N362" i="1"/>
  <c r="O362" i="1"/>
  <c r="P362" i="1"/>
  <c r="J363" i="1"/>
  <c r="K363" i="1"/>
  <c r="M363" i="1"/>
  <c r="N363" i="1"/>
  <c r="O363" i="1"/>
  <c r="P363" i="1"/>
  <c r="J364" i="1"/>
  <c r="M364" i="1"/>
  <c r="N364" i="1"/>
  <c r="O364" i="1"/>
  <c r="P364" i="1"/>
  <c r="J365" i="1"/>
  <c r="M365" i="1"/>
  <c r="N365" i="1"/>
  <c r="O365" i="1"/>
  <c r="J366" i="1"/>
  <c r="K366" i="1"/>
  <c r="M366" i="1"/>
  <c r="N366" i="1"/>
  <c r="P366" i="1"/>
  <c r="J367" i="1"/>
  <c r="M367" i="1"/>
  <c r="N367" i="1"/>
  <c r="O367" i="1"/>
  <c r="P367" i="1"/>
  <c r="J368" i="1"/>
  <c r="M368" i="1"/>
  <c r="N368" i="1"/>
  <c r="O368" i="1"/>
  <c r="P368" i="1"/>
  <c r="J369" i="1"/>
  <c r="K369" i="1"/>
  <c r="M369" i="1"/>
  <c r="N369" i="1"/>
  <c r="O369" i="1"/>
  <c r="P369" i="1"/>
  <c r="J370" i="1"/>
  <c r="M370" i="1"/>
  <c r="N370" i="1"/>
  <c r="O370" i="1"/>
  <c r="P370" i="1"/>
  <c r="J371" i="1"/>
  <c r="M371" i="1"/>
  <c r="N371" i="1"/>
  <c r="O371" i="1"/>
  <c r="J372" i="1"/>
  <c r="K372" i="1"/>
  <c r="M372" i="1"/>
  <c r="N372" i="1"/>
  <c r="P372" i="1"/>
  <c r="J373" i="1"/>
  <c r="M373" i="1"/>
  <c r="N373" i="1"/>
  <c r="O373" i="1"/>
  <c r="P373" i="1"/>
  <c r="J374" i="1"/>
  <c r="M374" i="1"/>
  <c r="N374" i="1"/>
  <c r="O374" i="1"/>
  <c r="P374" i="1"/>
  <c r="J375" i="1"/>
  <c r="K375" i="1"/>
  <c r="M375" i="1"/>
  <c r="N375" i="1"/>
  <c r="O375" i="1"/>
  <c r="P375" i="1"/>
  <c r="M376" i="1"/>
  <c r="N376" i="1"/>
  <c r="O376" i="1"/>
  <c r="P376" i="1"/>
  <c r="J377" i="1"/>
  <c r="M377" i="1"/>
  <c r="N377" i="1"/>
  <c r="O377" i="1"/>
  <c r="P377" i="1"/>
  <c r="J378" i="1"/>
  <c r="K378" i="1"/>
  <c r="M378" i="1"/>
  <c r="N378" i="1"/>
  <c r="P378" i="1"/>
  <c r="J379" i="1"/>
  <c r="M379" i="1"/>
  <c r="N379" i="1"/>
  <c r="O379" i="1"/>
  <c r="P379" i="1"/>
  <c r="J380" i="1"/>
  <c r="M380" i="1"/>
  <c r="N380" i="1"/>
  <c r="O380" i="1"/>
  <c r="P380" i="1"/>
  <c r="J381" i="1"/>
  <c r="K381" i="1"/>
  <c r="M381" i="1"/>
  <c r="N381" i="1"/>
  <c r="O381" i="1"/>
  <c r="P381" i="1"/>
  <c r="J382" i="1"/>
  <c r="M382" i="1"/>
  <c r="N382" i="1"/>
  <c r="O382" i="1"/>
  <c r="P382" i="1"/>
  <c r="J383" i="1"/>
  <c r="M383" i="1"/>
  <c r="N383" i="1"/>
  <c r="O383" i="1"/>
  <c r="P383" i="1"/>
  <c r="J384" i="1"/>
  <c r="K384" i="1"/>
  <c r="M384" i="1"/>
  <c r="N384" i="1"/>
  <c r="P384" i="1"/>
  <c r="J385" i="1"/>
  <c r="M385" i="1"/>
  <c r="N385" i="1"/>
  <c r="O385" i="1"/>
  <c r="P385" i="1"/>
  <c r="J386" i="1"/>
  <c r="M386" i="1"/>
  <c r="N386" i="1"/>
  <c r="O386" i="1"/>
  <c r="P386" i="1"/>
  <c r="J387" i="1"/>
  <c r="K387" i="1"/>
  <c r="M387" i="1"/>
  <c r="N387" i="1"/>
  <c r="O387" i="1"/>
  <c r="P387" i="1"/>
  <c r="J388" i="1"/>
  <c r="M388" i="1"/>
  <c r="N388" i="1"/>
  <c r="O388" i="1"/>
  <c r="P388" i="1"/>
  <c r="J389" i="1"/>
  <c r="M389" i="1"/>
  <c r="N389" i="1"/>
  <c r="O389" i="1"/>
  <c r="J390" i="1"/>
  <c r="K390" i="1"/>
  <c r="M390" i="1"/>
  <c r="N390" i="1"/>
  <c r="P390" i="1"/>
  <c r="J391" i="1"/>
  <c r="M391" i="1"/>
  <c r="N391" i="1"/>
  <c r="O391" i="1"/>
  <c r="P391" i="1"/>
  <c r="J392" i="1"/>
  <c r="M392" i="1"/>
  <c r="N392" i="1"/>
  <c r="O392" i="1"/>
  <c r="P392" i="1"/>
  <c r="J393" i="1"/>
  <c r="K393" i="1"/>
  <c r="M393" i="1"/>
  <c r="N393" i="1"/>
  <c r="O393" i="1"/>
  <c r="P393" i="1"/>
  <c r="M394" i="1"/>
  <c r="N394" i="1"/>
  <c r="O394" i="1"/>
  <c r="P394" i="1"/>
  <c r="J395" i="1"/>
  <c r="M395" i="1"/>
  <c r="N395" i="1"/>
  <c r="O395" i="1"/>
  <c r="P395" i="1"/>
  <c r="J396" i="1"/>
  <c r="K396" i="1"/>
  <c r="M396" i="1"/>
  <c r="N396" i="1"/>
  <c r="P396" i="1"/>
  <c r="J397" i="1"/>
  <c r="M397" i="1"/>
  <c r="N397" i="1"/>
  <c r="O397" i="1"/>
  <c r="P397" i="1"/>
  <c r="J398" i="1"/>
  <c r="M398" i="1"/>
  <c r="N398" i="1"/>
  <c r="O398" i="1"/>
  <c r="J399" i="1"/>
  <c r="K399" i="1"/>
  <c r="M399" i="1"/>
  <c r="N399" i="1"/>
  <c r="O399" i="1"/>
  <c r="P399" i="1"/>
  <c r="J400" i="1"/>
  <c r="M400" i="1"/>
  <c r="N400" i="1"/>
  <c r="O400" i="1"/>
  <c r="P400" i="1"/>
  <c r="J401" i="1"/>
  <c r="M401" i="1"/>
  <c r="N401" i="1"/>
  <c r="O401" i="1"/>
  <c r="P401" i="1"/>
  <c r="J402" i="1"/>
  <c r="K402" i="1"/>
  <c r="M402" i="1"/>
  <c r="N402" i="1"/>
  <c r="P402" i="1"/>
  <c r="J403" i="1"/>
  <c r="M403" i="1"/>
  <c r="N403" i="1"/>
  <c r="O403" i="1"/>
  <c r="P403" i="1"/>
  <c r="J404" i="1"/>
  <c r="M404" i="1"/>
  <c r="N404" i="1"/>
  <c r="O404" i="1"/>
  <c r="J405" i="1"/>
  <c r="K405" i="1"/>
  <c r="M405" i="1"/>
  <c r="N405" i="1"/>
  <c r="O405" i="1"/>
  <c r="P405" i="1"/>
  <c r="J406" i="1"/>
  <c r="M406" i="1"/>
  <c r="N406" i="1"/>
  <c r="O406" i="1"/>
  <c r="P406" i="1"/>
  <c r="J407" i="1"/>
  <c r="M407" i="1"/>
  <c r="N407" i="1"/>
  <c r="O407" i="1"/>
  <c r="P407" i="1"/>
  <c r="J408" i="1"/>
  <c r="K408" i="1"/>
  <c r="M408" i="1"/>
  <c r="N408" i="1"/>
  <c r="P408" i="1"/>
  <c r="M409" i="1"/>
  <c r="N409" i="1"/>
  <c r="O409" i="1"/>
  <c r="P409" i="1"/>
  <c r="J410" i="1"/>
  <c r="M410" i="1"/>
  <c r="N410" i="1"/>
  <c r="O410" i="1"/>
  <c r="P410" i="1"/>
  <c r="J411" i="1"/>
  <c r="K411" i="1"/>
  <c r="M411" i="1"/>
  <c r="N411" i="1"/>
  <c r="O411" i="1"/>
  <c r="P411" i="1"/>
  <c r="J412" i="1"/>
  <c r="M412" i="1"/>
  <c r="N412" i="1"/>
  <c r="O412" i="1"/>
  <c r="P412" i="1"/>
  <c r="J413" i="1"/>
  <c r="M413" i="1"/>
  <c r="N413" i="1"/>
  <c r="O413" i="1"/>
  <c r="P413" i="1"/>
  <c r="J414" i="1"/>
  <c r="K414" i="1"/>
  <c r="M414" i="1"/>
  <c r="N414" i="1"/>
  <c r="P414" i="1"/>
  <c r="J415" i="1"/>
  <c r="M415" i="1"/>
  <c r="N415" i="1"/>
  <c r="O415" i="1"/>
  <c r="P415" i="1"/>
  <c r="J416" i="1"/>
  <c r="M416" i="1"/>
  <c r="N416" i="1"/>
  <c r="O416" i="1"/>
  <c r="P416" i="1"/>
  <c r="J417" i="1"/>
  <c r="K417" i="1"/>
  <c r="M417" i="1"/>
  <c r="N417" i="1"/>
  <c r="O417" i="1"/>
  <c r="P417" i="1"/>
  <c r="J418" i="1"/>
  <c r="M418" i="1"/>
  <c r="N418" i="1"/>
  <c r="O418" i="1"/>
  <c r="P418" i="1"/>
  <c r="J419" i="1"/>
  <c r="M419" i="1"/>
  <c r="N419" i="1"/>
  <c r="O419" i="1"/>
  <c r="P419" i="1"/>
  <c r="J420" i="1"/>
  <c r="K420" i="1"/>
  <c r="M420" i="1"/>
  <c r="N420" i="1"/>
  <c r="P420" i="1"/>
  <c r="J421" i="1"/>
  <c r="M421" i="1"/>
  <c r="N421" i="1"/>
  <c r="O421" i="1"/>
  <c r="P421" i="1"/>
  <c r="J422" i="1"/>
  <c r="K422" i="1"/>
  <c r="M422" i="1"/>
  <c r="N422" i="1"/>
  <c r="O422" i="1"/>
  <c r="J423" i="1"/>
  <c r="K423" i="1"/>
  <c r="M423" i="1"/>
  <c r="N423" i="1"/>
  <c r="O423" i="1"/>
  <c r="P423" i="1"/>
  <c r="J424" i="1"/>
  <c r="M424" i="1"/>
  <c r="N424" i="1"/>
  <c r="O424" i="1"/>
  <c r="P424" i="1"/>
  <c r="J425" i="1"/>
  <c r="M425" i="1"/>
  <c r="N425" i="1"/>
  <c r="O425" i="1"/>
  <c r="P425" i="1"/>
  <c r="J426" i="1"/>
  <c r="K426" i="1"/>
  <c r="M426" i="1"/>
  <c r="N426" i="1"/>
  <c r="P426" i="1"/>
  <c r="M427" i="1"/>
  <c r="N427" i="1"/>
  <c r="O427" i="1"/>
  <c r="P427" i="1"/>
  <c r="J428" i="1"/>
  <c r="M428" i="1"/>
  <c r="N428" i="1"/>
  <c r="O428" i="1"/>
  <c r="P428" i="1"/>
  <c r="J429" i="1"/>
  <c r="K429" i="1"/>
  <c r="M429" i="1"/>
  <c r="N429" i="1"/>
  <c r="O429" i="1"/>
  <c r="P429" i="1"/>
  <c r="J430" i="1"/>
  <c r="M430" i="1"/>
  <c r="N430" i="1"/>
  <c r="O430" i="1"/>
  <c r="P430" i="1"/>
  <c r="J431" i="1"/>
  <c r="M431" i="1"/>
  <c r="N431" i="1"/>
  <c r="O431" i="1"/>
  <c r="P431" i="1"/>
  <c r="J432" i="1"/>
  <c r="K432" i="1"/>
  <c r="M432" i="1"/>
  <c r="N432" i="1"/>
  <c r="P432" i="1"/>
  <c r="J433" i="1"/>
  <c r="M433" i="1"/>
  <c r="N433" i="1"/>
  <c r="O433" i="1"/>
  <c r="P433" i="1"/>
  <c r="J434" i="1"/>
  <c r="M434" i="1"/>
  <c r="N434" i="1"/>
  <c r="O434" i="1"/>
  <c r="P434" i="1"/>
  <c r="J435" i="1"/>
  <c r="K435" i="1"/>
  <c r="M435" i="1"/>
  <c r="N435" i="1"/>
  <c r="O435" i="1"/>
  <c r="P435" i="1"/>
  <c r="J436" i="1"/>
  <c r="M436" i="1"/>
  <c r="N436" i="1"/>
  <c r="O436" i="1"/>
  <c r="P436" i="1"/>
  <c r="J437" i="1"/>
  <c r="M437" i="1"/>
  <c r="N437" i="1"/>
  <c r="O437" i="1"/>
  <c r="J438" i="1"/>
  <c r="K438" i="1"/>
  <c r="M438" i="1"/>
  <c r="N438" i="1"/>
  <c r="P438" i="1"/>
  <c r="J439" i="1"/>
  <c r="M439" i="1"/>
  <c r="N439" i="1"/>
  <c r="O439" i="1"/>
  <c r="P439" i="1"/>
  <c r="J440" i="1"/>
  <c r="M440" i="1"/>
  <c r="N440" i="1"/>
  <c r="O440" i="1"/>
  <c r="P440" i="1"/>
  <c r="J441" i="1"/>
  <c r="K441" i="1"/>
  <c r="M441" i="1"/>
  <c r="N441" i="1"/>
  <c r="O441" i="1"/>
  <c r="P441" i="1"/>
  <c r="J442" i="1"/>
  <c r="M442" i="1"/>
  <c r="N442" i="1"/>
  <c r="O442" i="1"/>
  <c r="P442" i="1"/>
  <c r="J443" i="1"/>
  <c r="M443" i="1"/>
  <c r="N443" i="1"/>
  <c r="O443" i="1"/>
  <c r="J444" i="1"/>
  <c r="K444" i="1"/>
  <c r="M444" i="1"/>
  <c r="N444" i="1"/>
  <c r="P444" i="1"/>
  <c r="J445" i="1"/>
  <c r="M445" i="1"/>
  <c r="N445" i="1"/>
  <c r="O445" i="1"/>
  <c r="P445" i="1"/>
  <c r="J446" i="1"/>
  <c r="M446" i="1"/>
  <c r="N446" i="1"/>
  <c r="O446" i="1"/>
  <c r="P446" i="1"/>
  <c r="J447" i="1"/>
  <c r="K447" i="1"/>
  <c r="M447" i="1"/>
  <c r="N447" i="1"/>
  <c r="O447" i="1"/>
  <c r="P447" i="1"/>
  <c r="M448" i="1"/>
  <c r="N448" i="1"/>
  <c r="O448" i="1"/>
  <c r="P448" i="1"/>
  <c r="J449" i="1"/>
  <c r="M449" i="1"/>
  <c r="N449" i="1"/>
  <c r="O449" i="1"/>
  <c r="P449" i="1"/>
  <c r="J450" i="1"/>
  <c r="K450" i="1"/>
  <c r="M450" i="1"/>
  <c r="N450" i="1"/>
  <c r="P450" i="1"/>
  <c r="J451" i="1"/>
  <c r="M451" i="1"/>
  <c r="N451" i="1"/>
  <c r="O451" i="1"/>
  <c r="P451" i="1"/>
  <c r="J452" i="1"/>
  <c r="M452" i="1"/>
  <c r="N452" i="1"/>
  <c r="O452" i="1"/>
  <c r="P452" i="1"/>
  <c r="J453" i="1"/>
  <c r="K453" i="1"/>
  <c r="M453" i="1"/>
  <c r="N453" i="1"/>
  <c r="O453" i="1"/>
  <c r="P453" i="1"/>
  <c r="J454" i="1"/>
  <c r="M454" i="1"/>
  <c r="N454" i="1"/>
  <c r="O454" i="1"/>
  <c r="P454" i="1"/>
  <c r="J455" i="1"/>
  <c r="M455" i="1"/>
  <c r="N455" i="1"/>
  <c r="O455" i="1"/>
  <c r="P455" i="1"/>
  <c r="J456" i="1"/>
  <c r="K456" i="1"/>
  <c r="M456" i="1"/>
  <c r="N456" i="1"/>
  <c r="P456" i="1"/>
  <c r="J457" i="1"/>
  <c r="M457" i="1"/>
  <c r="N457" i="1"/>
  <c r="O457" i="1"/>
  <c r="P457" i="1"/>
  <c r="J458" i="1"/>
  <c r="M458" i="1"/>
  <c r="N458" i="1"/>
  <c r="O458" i="1"/>
  <c r="P458" i="1"/>
  <c r="J459" i="1"/>
  <c r="K459" i="1"/>
  <c r="M459" i="1"/>
  <c r="N459" i="1"/>
  <c r="O459" i="1"/>
  <c r="P459" i="1"/>
  <c r="J460" i="1"/>
  <c r="M460" i="1"/>
  <c r="N460" i="1"/>
  <c r="O460" i="1"/>
  <c r="P460" i="1"/>
  <c r="J461" i="1"/>
  <c r="M461" i="1"/>
  <c r="N461" i="1"/>
  <c r="O461" i="1"/>
  <c r="J462" i="1"/>
  <c r="K462" i="1"/>
  <c r="M462" i="1"/>
  <c r="N462" i="1"/>
  <c r="P462" i="1"/>
  <c r="J463" i="1"/>
  <c r="M463" i="1"/>
  <c r="N463" i="1"/>
  <c r="O463" i="1"/>
  <c r="P463" i="1"/>
  <c r="J464" i="1"/>
  <c r="K464" i="1"/>
  <c r="M464" i="1"/>
  <c r="N464" i="1"/>
  <c r="O464" i="1"/>
  <c r="P464" i="1"/>
  <c r="J465" i="1"/>
  <c r="K465" i="1"/>
  <c r="M465" i="1"/>
  <c r="N465" i="1"/>
  <c r="O465" i="1"/>
  <c r="P465" i="1"/>
  <c r="M466" i="1"/>
  <c r="N466" i="1"/>
  <c r="O466" i="1"/>
  <c r="P466" i="1"/>
  <c r="J467" i="1"/>
  <c r="M467" i="1"/>
  <c r="N467" i="1"/>
  <c r="O467" i="1"/>
  <c r="P467" i="1"/>
  <c r="J468" i="1"/>
  <c r="K468" i="1"/>
  <c r="M468" i="1"/>
  <c r="N468" i="1"/>
  <c r="P468" i="1"/>
  <c r="J469" i="1"/>
  <c r="M469" i="1"/>
  <c r="N469" i="1"/>
  <c r="O469" i="1"/>
  <c r="P469" i="1"/>
  <c r="J470" i="1"/>
  <c r="M470" i="1"/>
  <c r="N470" i="1"/>
  <c r="O470" i="1"/>
  <c r="J471" i="1"/>
  <c r="K471" i="1"/>
  <c r="M471" i="1"/>
  <c r="N471" i="1"/>
  <c r="O471" i="1"/>
  <c r="P471" i="1"/>
  <c r="J472" i="1"/>
  <c r="M472" i="1"/>
  <c r="N472" i="1"/>
  <c r="O472" i="1"/>
  <c r="P472" i="1"/>
  <c r="J473" i="1"/>
  <c r="M473" i="1"/>
  <c r="N473" i="1"/>
  <c r="O473" i="1"/>
  <c r="P473" i="1"/>
  <c r="J474" i="1"/>
  <c r="K474" i="1"/>
  <c r="M474" i="1"/>
  <c r="N474" i="1"/>
  <c r="P474" i="1"/>
  <c r="J475" i="1"/>
  <c r="M475" i="1"/>
  <c r="N475" i="1"/>
  <c r="O475" i="1"/>
  <c r="P475" i="1"/>
  <c r="J476" i="1"/>
  <c r="M476" i="1"/>
  <c r="N476" i="1"/>
  <c r="O476" i="1"/>
  <c r="J477" i="1"/>
  <c r="K477" i="1"/>
  <c r="M477" i="1"/>
  <c r="N477" i="1"/>
  <c r="O477" i="1"/>
  <c r="P477" i="1"/>
  <c r="J478" i="1"/>
  <c r="M478" i="1"/>
  <c r="N478" i="1"/>
  <c r="O478" i="1"/>
  <c r="P478" i="1"/>
  <c r="J479" i="1"/>
  <c r="M479" i="1"/>
  <c r="N479" i="1"/>
  <c r="O479" i="1"/>
  <c r="P479" i="1"/>
  <c r="J480" i="1"/>
  <c r="K480" i="1"/>
  <c r="M480" i="1"/>
  <c r="N480" i="1"/>
  <c r="P480" i="1"/>
  <c r="M481" i="1"/>
  <c r="N481" i="1"/>
  <c r="O481" i="1"/>
  <c r="P481" i="1"/>
  <c r="J482" i="1"/>
  <c r="M482" i="1"/>
  <c r="N482" i="1"/>
  <c r="O482" i="1"/>
  <c r="P482" i="1"/>
  <c r="J483" i="1"/>
  <c r="K483" i="1"/>
  <c r="M483" i="1"/>
  <c r="N483" i="1"/>
  <c r="O483" i="1"/>
  <c r="P483" i="1"/>
  <c r="J484" i="1"/>
  <c r="M484" i="1"/>
  <c r="N484" i="1"/>
  <c r="O484" i="1"/>
  <c r="P484" i="1"/>
  <c r="J485" i="1"/>
  <c r="M485" i="1"/>
  <c r="N485" i="1"/>
  <c r="O485" i="1"/>
  <c r="P485" i="1"/>
  <c r="J486" i="1"/>
  <c r="K486" i="1"/>
  <c r="M486" i="1"/>
  <c r="N486" i="1"/>
  <c r="P486" i="1"/>
  <c r="J487" i="1"/>
  <c r="M487" i="1"/>
  <c r="N487" i="1"/>
  <c r="O487" i="1"/>
  <c r="P487" i="1"/>
  <c r="J488" i="1"/>
  <c r="M488" i="1"/>
  <c r="N488" i="1"/>
  <c r="O488" i="1"/>
  <c r="P488" i="1"/>
  <c r="J489" i="1"/>
  <c r="K489" i="1"/>
  <c r="M489" i="1"/>
  <c r="N489" i="1"/>
  <c r="O489" i="1"/>
  <c r="P489" i="1"/>
  <c r="J490" i="1"/>
  <c r="M490" i="1"/>
  <c r="N490" i="1"/>
  <c r="O490" i="1"/>
  <c r="P490" i="1"/>
  <c r="J491" i="1"/>
  <c r="M491" i="1"/>
  <c r="N491" i="1"/>
  <c r="O491" i="1"/>
  <c r="P491" i="1"/>
  <c r="J492" i="1"/>
  <c r="K492" i="1"/>
  <c r="M492" i="1"/>
  <c r="N492" i="1"/>
  <c r="P492" i="1"/>
  <c r="J493" i="1"/>
  <c r="M493" i="1"/>
  <c r="N493" i="1"/>
  <c r="O493" i="1"/>
  <c r="P493" i="1"/>
  <c r="J494" i="1"/>
  <c r="M494" i="1"/>
  <c r="N494" i="1"/>
  <c r="O494" i="1"/>
  <c r="J495" i="1"/>
  <c r="K495" i="1"/>
  <c r="M495" i="1"/>
  <c r="N495" i="1"/>
  <c r="O495" i="1"/>
  <c r="P495" i="1"/>
  <c r="J496" i="1"/>
  <c r="M496" i="1"/>
  <c r="N496" i="1"/>
  <c r="O496" i="1"/>
  <c r="P496" i="1"/>
  <c r="J497" i="1"/>
  <c r="M497" i="1"/>
  <c r="N497" i="1"/>
  <c r="O497" i="1"/>
  <c r="P497" i="1"/>
  <c r="J498" i="1"/>
  <c r="K498" i="1"/>
  <c r="M498" i="1"/>
  <c r="N498" i="1"/>
  <c r="P498" i="1"/>
  <c r="M499" i="1"/>
  <c r="N499" i="1"/>
  <c r="O499" i="1"/>
  <c r="P499" i="1"/>
  <c r="J500" i="1"/>
  <c r="M500" i="1"/>
  <c r="N500" i="1"/>
  <c r="O500" i="1"/>
  <c r="P500" i="1"/>
  <c r="J501" i="1"/>
  <c r="K501" i="1"/>
  <c r="M501" i="1"/>
  <c r="N501" i="1"/>
  <c r="O501" i="1"/>
  <c r="P501" i="1"/>
  <c r="J502" i="1"/>
  <c r="M502" i="1"/>
  <c r="N502" i="1"/>
  <c r="O502" i="1"/>
  <c r="P502" i="1"/>
  <c r="J503" i="1"/>
  <c r="M503" i="1"/>
  <c r="N503" i="1"/>
  <c r="O503" i="1"/>
  <c r="P503" i="1"/>
  <c r="J504" i="1"/>
  <c r="K504" i="1"/>
  <c r="M504" i="1"/>
  <c r="N504" i="1"/>
  <c r="P504" i="1"/>
  <c r="J505" i="1"/>
  <c r="M505" i="1"/>
  <c r="N505" i="1"/>
  <c r="O505" i="1"/>
  <c r="P505" i="1"/>
  <c r="J506" i="1"/>
  <c r="M506" i="1"/>
  <c r="N506" i="1"/>
  <c r="O506" i="1"/>
  <c r="P506" i="1"/>
  <c r="J507" i="1"/>
  <c r="K507" i="1"/>
  <c r="M507" i="1"/>
  <c r="N507" i="1"/>
  <c r="O507" i="1"/>
  <c r="P507" i="1"/>
  <c r="J508" i="1"/>
  <c r="M508" i="1"/>
  <c r="N508" i="1"/>
  <c r="O508" i="1"/>
  <c r="P508" i="1"/>
  <c r="J509" i="1"/>
  <c r="M509" i="1"/>
  <c r="N509" i="1"/>
  <c r="O509" i="1"/>
  <c r="J510" i="1"/>
  <c r="K510" i="1"/>
  <c r="M510" i="1"/>
  <c r="N510" i="1"/>
  <c r="P510" i="1"/>
  <c r="J511" i="1"/>
  <c r="M511" i="1"/>
  <c r="N511" i="1"/>
  <c r="O511" i="1"/>
  <c r="P511" i="1"/>
  <c r="J512" i="1"/>
  <c r="M512" i="1"/>
  <c r="N512" i="1"/>
  <c r="O512" i="1"/>
  <c r="P512" i="1"/>
  <c r="J513" i="1"/>
  <c r="K513" i="1"/>
  <c r="M513" i="1"/>
  <c r="N513" i="1"/>
  <c r="O513" i="1"/>
  <c r="P513" i="1"/>
  <c r="J514" i="1"/>
  <c r="M514" i="1"/>
  <c r="N514" i="1"/>
  <c r="O514" i="1"/>
  <c r="P514" i="1"/>
  <c r="J515" i="1"/>
  <c r="M515" i="1"/>
  <c r="N515" i="1"/>
  <c r="O515" i="1"/>
  <c r="J516" i="1"/>
  <c r="K516" i="1"/>
  <c r="M516" i="1"/>
  <c r="N516" i="1"/>
  <c r="P516" i="1"/>
  <c r="J517" i="1"/>
  <c r="M517" i="1"/>
  <c r="N517" i="1"/>
  <c r="O517" i="1"/>
  <c r="P517" i="1"/>
  <c r="J518" i="1"/>
  <c r="M518" i="1"/>
  <c r="N518" i="1"/>
  <c r="O518" i="1"/>
  <c r="P518" i="1"/>
  <c r="J519" i="1"/>
  <c r="K519" i="1"/>
  <c r="M519" i="1"/>
  <c r="N519" i="1"/>
  <c r="O519" i="1"/>
  <c r="P519" i="1"/>
  <c r="M520" i="1"/>
  <c r="N520" i="1"/>
  <c r="O520" i="1"/>
  <c r="P520" i="1"/>
  <c r="J521" i="1"/>
  <c r="M521" i="1"/>
  <c r="N521" i="1"/>
  <c r="O521" i="1"/>
  <c r="P521" i="1"/>
  <c r="J522" i="1"/>
  <c r="K522" i="1"/>
  <c r="M522" i="1"/>
  <c r="N522" i="1"/>
  <c r="P522" i="1"/>
  <c r="J523" i="1"/>
  <c r="M523" i="1"/>
  <c r="N523" i="1"/>
  <c r="O523" i="1"/>
  <c r="P523" i="1"/>
  <c r="J524" i="1"/>
  <c r="M524" i="1"/>
  <c r="N524" i="1"/>
  <c r="O524" i="1"/>
  <c r="P524" i="1"/>
  <c r="J525" i="1"/>
  <c r="K525" i="1"/>
  <c r="M525" i="1"/>
  <c r="N525" i="1"/>
  <c r="O525" i="1"/>
  <c r="P525" i="1"/>
  <c r="J526" i="1"/>
  <c r="M526" i="1"/>
  <c r="N526" i="1"/>
  <c r="O526" i="1"/>
  <c r="P526" i="1"/>
  <c r="J527" i="1"/>
  <c r="M527" i="1"/>
  <c r="N527" i="1"/>
  <c r="O527" i="1"/>
  <c r="P527" i="1"/>
  <c r="J528" i="1"/>
  <c r="K528" i="1"/>
  <c r="M528" i="1"/>
  <c r="N528" i="1"/>
  <c r="P528" i="1"/>
  <c r="J529" i="1"/>
  <c r="M529" i="1"/>
  <c r="N529" i="1"/>
  <c r="O529" i="1"/>
  <c r="P529" i="1"/>
  <c r="J530" i="1"/>
  <c r="M530" i="1"/>
  <c r="N530" i="1"/>
  <c r="O530" i="1"/>
  <c r="P530" i="1"/>
  <c r="J531" i="1"/>
  <c r="K531" i="1"/>
  <c r="M531" i="1"/>
  <c r="N531" i="1"/>
  <c r="O531" i="1"/>
  <c r="P531" i="1"/>
  <c r="J532" i="1"/>
  <c r="M532" i="1"/>
  <c r="N532" i="1"/>
  <c r="O532" i="1"/>
  <c r="P532" i="1"/>
  <c r="J533" i="1"/>
  <c r="M533" i="1"/>
  <c r="N533" i="1"/>
  <c r="O533" i="1"/>
  <c r="J534" i="1"/>
  <c r="K534" i="1"/>
  <c r="M534" i="1"/>
  <c r="P534" i="1"/>
  <c r="J535" i="1"/>
  <c r="M535" i="1"/>
  <c r="N535" i="1"/>
  <c r="O535" i="1"/>
  <c r="P535" i="1"/>
  <c r="J536" i="1"/>
  <c r="M536" i="1"/>
  <c r="N536" i="1"/>
  <c r="O536" i="1"/>
  <c r="P536" i="1"/>
  <c r="J537" i="1"/>
  <c r="K537" i="1"/>
  <c r="M537" i="1"/>
  <c r="N537" i="1"/>
  <c r="O537" i="1"/>
  <c r="P537" i="1"/>
  <c r="M538" i="1"/>
  <c r="N538" i="1"/>
  <c r="O538" i="1"/>
  <c r="P538" i="1"/>
  <c r="J539" i="1"/>
  <c r="M539" i="1"/>
  <c r="N539" i="1"/>
  <c r="O539" i="1"/>
  <c r="P539" i="1"/>
  <c r="J540" i="1"/>
  <c r="K540" i="1"/>
  <c r="M540" i="1"/>
  <c r="N540" i="1"/>
  <c r="P540" i="1"/>
  <c r="J541" i="1"/>
  <c r="M541" i="1"/>
  <c r="N541" i="1"/>
  <c r="O541" i="1"/>
  <c r="P541" i="1"/>
  <c r="J542" i="1"/>
  <c r="M542" i="1"/>
  <c r="N542" i="1"/>
  <c r="O542" i="1"/>
  <c r="J543" i="1"/>
  <c r="K543" i="1"/>
  <c r="M543" i="1"/>
  <c r="N543" i="1"/>
  <c r="O543" i="1"/>
  <c r="P543" i="1"/>
  <c r="J544" i="1"/>
  <c r="M544" i="1"/>
  <c r="N544" i="1"/>
  <c r="O544" i="1"/>
  <c r="P544" i="1"/>
  <c r="J545" i="1"/>
  <c r="M545" i="1"/>
  <c r="N545" i="1"/>
  <c r="O545" i="1"/>
  <c r="P545" i="1"/>
  <c r="J546" i="1"/>
  <c r="K546" i="1"/>
  <c r="M546" i="1"/>
  <c r="P546" i="1"/>
  <c r="J547" i="1"/>
  <c r="M547" i="1"/>
  <c r="N547" i="1"/>
  <c r="O547" i="1"/>
  <c r="P547" i="1"/>
  <c r="J548" i="1"/>
  <c r="M548" i="1"/>
  <c r="N548" i="1"/>
  <c r="O548" i="1"/>
  <c r="J549" i="1"/>
  <c r="K549" i="1"/>
  <c r="M549" i="1"/>
  <c r="N549" i="1"/>
  <c r="O549" i="1"/>
  <c r="P549" i="1"/>
  <c r="J550" i="1"/>
  <c r="M550" i="1"/>
  <c r="N550" i="1"/>
  <c r="O550" i="1"/>
  <c r="P550" i="1"/>
  <c r="J551" i="1"/>
  <c r="M551" i="1"/>
  <c r="N551" i="1"/>
  <c r="O551" i="1"/>
  <c r="P551" i="1"/>
  <c r="J552" i="1"/>
  <c r="K552" i="1"/>
  <c r="M552" i="1"/>
  <c r="N552" i="1"/>
  <c r="P552" i="1"/>
  <c r="M553" i="1"/>
  <c r="N553" i="1"/>
  <c r="O553" i="1"/>
  <c r="P553" i="1"/>
  <c r="J554" i="1"/>
  <c r="M554" i="1"/>
  <c r="N554" i="1"/>
  <c r="O554" i="1"/>
  <c r="P554" i="1"/>
  <c r="J555" i="1"/>
  <c r="K555" i="1"/>
  <c r="M555" i="1"/>
  <c r="N555" i="1"/>
  <c r="O555" i="1"/>
  <c r="P555" i="1"/>
  <c r="J556" i="1"/>
  <c r="M556" i="1"/>
  <c r="N556" i="1"/>
  <c r="O556" i="1"/>
  <c r="P556" i="1"/>
  <c r="J557" i="1"/>
  <c r="M557" i="1"/>
  <c r="N557" i="1"/>
  <c r="O557" i="1"/>
  <c r="P557" i="1"/>
  <c r="J558" i="1"/>
  <c r="K558" i="1"/>
  <c r="M558" i="1"/>
  <c r="P558" i="1"/>
  <c r="J559" i="1"/>
  <c r="M559" i="1"/>
  <c r="N559" i="1"/>
  <c r="O559" i="1"/>
  <c r="P559" i="1"/>
  <c r="J560" i="1"/>
  <c r="M560" i="1"/>
  <c r="N560" i="1"/>
  <c r="O560" i="1"/>
  <c r="P560" i="1"/>
  <c r="J561" i="1"/>
  <c r="K561" i="1"/>
  <c r="M561" i="1"/>
  <c r="N561" i="1"/>
  <c r="O561" i="1"/>
  <c r="P561" i="1"/>
  <c r="J562" i="1"/>
  <c r="M562" i="1"/>
  <c r="N562" i="1"/>
  <c r="O562" i="1"/>
  <c r="P562" i="1"/>
  <c r="J563" i="1"/>
  <c r="M563" i="1"/>
  <c r="N563" i="1"/>
  <c r="O563" i="1"/>
  <c r="P563" i="1"/>
  <c r="J564" i="1"/>
  <c r="K564" i="1"/>
  <c r="M564" i="1"/>
  <c r="N564" i="1"/>
  <c r="P564" i="1"/>
  <c r="J565" i="1"/>
  <c r="M565" i="1"/>
  <c r="N565" i="1"/>
  <c r="O565" i="1"/>
  <c r="P565" i="1"/>
  <c r="J566" i="1"/>
  <c r="M566" i="1"/>
  <c r="N566" i="1"/>
  <c r="O566" i="1"/>
  <c r="J567" i="1"/>
  <c r="K567" i="1"/>
  <c r="M567" i="1"/>
  <c r="N567" i="1"/>
  <c r="O567" i="1"/>
  <c r="P567" i="1"/>
  <c r="J568" i="1"/>
  <c r="M568" i="1"/>
  <c r="N568" i="1"/>
  <c r="O568" i="1"/>
  <c r="P568" i="1"/>
  <c r="J569" i="1"/>
  <c r="M569" i="1"/>
  <c r="N569" i="1"/>
  <c r="O569" i="1"/>
  <c r="P569" i="1"/>
  <c r="J570" i="1"/>
  <c r="K570" i="1"/>
  <c r="M570" i="1"/>
  <c r="N570" i="1"/>
  <c r="P570" i="1"/>
  <c r="M571" i="1"/>
  <c r="N571" i="1"/>
  <c r="O571" i="1"/>
  <c r="P571" i="1"/>
  <c r="J572" i="1"/>
  <c r="M572" i="1"/>
  <c r="N572" i="1"/>
  <c r="O572" i="1"/>
  <c r="P572" i="1"/>
  <c r="J573" i="1"/>
  <c r="K573" i="1"/>
  <c r="M573" i="1"/>
  <c r="N573" i="1"/>
  <c r="O573" i="1"/>
  <c r="P573" i="1"/>
  <c r="J574" i="1"/>
  <c r="M574" i="1"/>
  <c r="N574" i="1"/>
  <c r="O574" i="1"/>
  <c r="P574" i="1"/>
  <c r="J575" i="1"/>
  <c r="M575" i="1"/>
  <c r="N575" i="1"/>
  <c r="O575" i="1"/>
  <c r="P575" i="1"/>
  <c r="J576" i="1"/>
  <c r="K576" i="1"/>
  <c r="M576" i="1"/>
  <c r="N576" i="1"/>
  <c r="P576" i="1"/>
  <c r="J577" i="1"/>
  <c r="M577" i="1"/>
  <c r="N577" i="1"/>
  <c r="O577" i="1"/>
  <c r="P577" i="1"/>
  <c r="J578" i="1"/>
  <c r="M578" i="1"/>
  <c r="N578" i="1"/>
  <c r="O578" i="1"/>
  <c r="P578" i="1"/>
  <c r="J579" i="1"/>
  <c r="K579" i="1"/>
  <c r="M579" i="1"/>
  <c r="N579" i="1"/>
  <c r="O579" i="1"/>
  <c r="P579" i="1"/>
  <c r="J580" i="1"/>
  <c r="M580" i="1"/>
  <c r="N580" i="1"/>
  <c r="O580" i="1"/>
  <c r="P580" i="1"/>
  <c r="J581" i="1"/>
  <c r="M581" i="1"/>
  <c r="N581" i="1"/>
  <c r="O581" i="1"/>
  <c r="J582" i="1"/>
  <c r="K582" i="1"/>
  <c r="M582" i="1"/>
  <c r="N582" i="1"/>
  <c r="P582" i="1"/>
  <c r="J583" i="1"/>
  <c r="M583" i="1"/>
  <c r="N583" i="1"/>
  <c r="O583" i="1"/>
  <c r="P583" i="1"/>
  <c r="J584" i="1"/>
  <c r="M584" i="1"/>
  <c r="N584" i="1"/>
  <c r="O584" i="1"/>
  <c r="P584" i="1"/>
  <c r="J585" i="1"/>
  <c r="K585" i="1"/>
  <c r="M585" i="1"/>
  <c r="N585" i="1"/>
  <c r="O585" i="1"/>
  <c r="P585" i="1"/>
  <c r="J586" i="1"/>
  <c r="M586" i="1"/>
  <c r="N586" i="1"/>
  <c r="O586" i="1"/>
  <c r="P586" i="1"/>
  <c r="J587" i="1"/>
  <c r="M587" i="1"/>
  <c r="N587" i="1"/>
  <c r="O587" i="1"/>
  <c r="J588" i="1"/>
  <c r="K588" i="1"/>
  <c r="M588" i="1"/>
  <c r="N588" i="1"/>
  <c r="P588" i="1"/>
  <c r="J589" i="1"/>
  <c r="M589" i="1"/>
  <c r="N589" i="1"/>
  <c r="O589" i="1"/>
  <c r="P589" i="1"/>
  <c r="J590" i="1"/>
  <c r="M590" i="1"/>
  <c r="N590" i="1"/>
  <c r="O590" i="1"/>
  <c r="P590" i="1"/>
  <c r="J591" i="1"/>
  <c r="K591" i="1"/>
  <c r="M591" i="1"/>
  <c r="N591" i="1"/>
  <c r="O591" i="1"/>
  <c r="P591" i="1"/>
  <c r="M592" i="1"/>
  <c r="N592" i="1"/>
  <c r="O592" i="1"/>
  <c r="P592" i="1"/>
  <c r="J593" i="1"/>
  <c r="M593" i="1"/>
  <c r="N593" i="1"/>
  <c r="O593" i="1"/>
  <c r="P593" i="1"/>
  <c r="J594" i="1"/>
  <c r="K594" i="1"/>
  <c r="M594" i="1"/>
  <c r="N594" i="1"/>
  <c r="P594" i="1"/>
  <c r="J595" i="1"/>
  <c r="K595" i="1"/>
  <c r="M595" i="1"/>
  <c r="N595" i="1"/>
  <c r="O595" i="1"/>
  <c r="P595" i="1"/>
  <c r="J596" i="1"/>
  <c r="M596" i="1"/>
  <c r="N596" i="1"/>
  <c r="O596" i="1"/>
  <c r="P596" i="1"/>
  <c r="J597" i="1"/>
  <c r="K597" i="1"/>
  <c r="M597" i="1"/>
  <c r="N597" i="1"/>
  <c r="O597" i="1"/>
  <c r="P597" i="1"/>
  <c r="J598" i="1"/>
  <c r="M598" i="1"/>
  <c r="N598" i="1"/>
  <c r="O598" i="1"/>
  <c r="P598" i="1"/>
  <c r="J599" i="1"/>
  <c r="M599" i="1"/>
  <c r="N599" i="1"/>
  <c r="O599" i="1"/>
  <c r="P599" i="1"/>
  <c r="J600" i="1"/>
  <c r="K600" i="1"/>
  <c r="M600" i="1"/>
  <c r="N600" i="1"/>
  <c r="P600" i="1"/>
  <c r="J601" i="1"/>
  <c r="M601" i="1"/>
  <c r="N601" i="1"/>
  <c r="O601" i="1"/>
  <c r="P601" i="1"/>
  <c r="J602" i="1"/>
  <c r="M602" i="1"/>
  <c r="N602" i="1"/>
  <c r="O602" i="1"/>
  <c r="P602" i="1"/>
  <c r="J603" i="1"/>
  <c r="K603" i="1"/>
  <c r="M603" i="1"/>
  <c r="N603" i="1"/>
  <c r="O603" i="1"/>
  <c r="P603" i="1"/>
  <c r="J604" i="1"/>
  <c r="M604" i="1"/>
  <c r="N604" i="1"/>
  <c r="O604" i="1"/>
  <c r="P604" i="1"/>
  <c r="J605" i="1"/>
  <c r="M605" i="1"/>
  <c r="N605" i="1"/>
  <c r="O605" i="1"/>
  <c r="J606" i="1"/>
  <c r="K606" i="1"/>
  <c r="M606" i="1"/>
  <c r="N606" i="1"/>
  <c r="P606" i="1"/>
  <c r="J607" i="1"/>
  <c r="M607" i="1"/>
  <c r="N607" i="1"/>
  <c r="O607" i="1"/>
  <c r="P607" i="1"/>
  <c r="J608" i="1"/>
  <c r="M608" i="1"/>
  <c r="N608" i="1"/>
  <c r="O608" i="1"/>
  <c r="P608" i="1"/>
  <c r="J609" i="1"/>
  <c r="K609" i="1"/>
  <c r="M609" i="1"/>
  <c r="N609" i="1"/>
  <c r="O609" i="1"/>
  <c r="P609" i="1"/>
  <c r="M610" i="1"/>
  <c r="N610" i="1"/>
  <c r="O610" i="1"/>
  <c r="P610" i="1"/>
  <c r="J611" i="1"/>
  <c r="M611" i="1"/>
  <c r="N611" i="1"/>
  <c r="O611" i="1"/>
  <c r="P611" i="1"/>
  <c r="J612" i="1"/>
  <c r="K612" i="1"/>
  <c r="M612" i="1"/>
  <c r="N612" i="1"/>
  <c r="P612" i="1"/>
  <c r="J613" i="1"/>
  <c r="M613" i="1"/>
  <c r="N613" i="1"/>
  <c r="O613" i="1"/>
  <c r="P613" i="1"/>
  <c r="J614" i="1"/>
  <c r="M614" i="1"/>
  <c r="N614" i="1"/>
  <c r="O614" i="1"/>
  <c r="P614" i="1"/>
  <c r="J615" i="1"/>
  <c r="K615" i="1"/>
  <c r="M615" i="1"/>
  <c r="N615" i="1"/>
  <c r="O615" i="1"/>
  <c r="P615" i="1"/>
  <c r="J616" i="1"/>
  <c r="M616" i="1"/>
  <c r="N616" i="1"/>
  <c r="O616" i="1"/>
  <c r="P616" i="1"/>
  <c r="J617" i="1"/>
  <c r="M617" i="1"/>
  <c r="N617" i="1"/>
  <c r="O617" i="1"/>
  <c r="P617" i="1"/>
  <c r="J618" i="1"/>
  <c r="K618" i="1"/>
  <c r="M618" i="1"/>
  <c r="N618" i="1"/>
  <c r="P618" i="1"/>
  <c r="J619" i="1"/>
  <c r="M619" i="1"/>
  <c r="N619" i="1"/>
  <c r="O619" i="1"/>
  <c r="P619" i="1"/>
  <c r="J620" i="1"/>
  <c r="M620" i="1"/>
  <c r="N620" i="1"/>
  <c r="O620" i="1"/>
  <c r="J621" i="1"/>
  <c r="K621" i="1"/>
  <c r="M621" i="1"/>
  <c r="N621" i="1"/>
  <c r="O621" i="1"/>
  <c r="P621" i="1"/>
  <c r="J622" i="1"/>
  <c r="M622" i="1"/>
  <c r="N622" i="1"/>
  <c r="O622" i="1"/>
  <c r="P622" i="1"/>
  <c r="J623" i="1"/>
  <c r="M623" i="1"/>
  <c r="N623" i="1"/>
  <c r="O623" i="1"/>
  <c r="P623" i="1"/>
  <c r="J624" i="1"/>
  <c r="K624" i="1"/>
  <c r="M624" i="1"/>
  <c r="N624" i="1"/>
  <c r="P624" i="1"/>
  <c r="M625" i="1"/>
  <c r="N625" i="1"/>
  <c r="O625" i="1"/>
  <c r="P625" i="1"/>
  <c r="J626" i="1"/>
  <c r="M626" i="1"/>
  <c r="N626" i="1"/>
  <c r="O626" i="1"/>
  <c r="P626" i="1"/>
  <c r="J627" i="1"/>
  <c r="K627" i="1"/>
  <c r="M627" i="1"/>
  <c r="N627" i="1"/>
  <c r="O627" i="1"/>
  <c r="P627" i="1"/>
  <c r="J628" i="1"/>
  <c r="M628" i="1"/>
  <c r="N628" i="1"/>
  <c r="O628" i="1"/>
  <c r="P628" i="1"/>
  <c r="J629" i="1"/>
  <c r="M629" i="1"/>
  <c r="N629" i="1"/>
  <c r="O629" i="1"/>
  <c r="P629" i="1"/>
  <c r="J630" i="1"/>
  <c r="K630" i="1"/>
  <c r="M630" i="1"/>
  <c r="N630" i="1"/>
  <c r="P630" i="1"/>
  <c r="J631" i="1"/>
  <c r="M631" i="1"/>
  <c r="N631" i="1"/>
  <c r="O631" i="1"/>
  <c r="P631" i="1"/>
  <c r="J632" i="1"/>
  <c r="M632" i="1"/>
  <c r="N632" i="1"/>
  <c r="O632" i="1"/>
  <c r="P632" i="1"/>
  <c r="J633" i="1"/>
  <c r="K633" i="1"/>
  <c r="M633" i="1"/>
  <c r="N633" i="1"/>
  <c r="O633" i="1"/>
  <c r="P633" i="1"/>
  <c r="J634" i="1"/>
  <c r="M634" i="1"/>
  <c r="O634" i="1"/>
  <c r="P634" i="1"/>
  <c r="J635" i="1"/>
  <c r="M635" i="1"/>
  <c r="N635" i="1"/>
  <c r="O635" i="1"/>
  <c r="P635" i="1"/>
  <c r="J636" i="1"/>
  <c r="K636" i="1"/>
  <c r="M636" i="1"/>
  <c r="N636" i="1"/>
  <c r="P636" i="1"/>
  <c r="J637" i="1"/>
  <c r="M637" i="1"/>
  <c r="N637" i="1"/>
  <c r="O637" i="1"/>
  <c r="P637" i="1"/>
  <c r="J638" i="1"/>
  <c r="M638" i="1"/>
  <c r="N638" i="1"/>
  <c r="O638" i="1"/>
  <c r="J639" i="1"/>
  <c r="K639" i="1"/>
  <c r="M639" i="1"/>
  <c r="N639" i="1"/>
  <c r="O639" i="1"/>
  <c r="P639" i="1"/>
  <c r="J640" i="1"/>
  <c r="M640" i="1"/>
  <c r="O640" i="1"/>
  <c r="P640" i="1"/>
  <c r="J641" i="1"/>
  <c r="M641" i="1"/>
  <c r="N641" i="1"/>
  <c r="O641" i="1"/>
  <c r="P641" i="1"/>
  <c r="J642" i="1"/>
  <c r="K642" i="1"/>
  <c r="M642" i="1"/>
  <c r="N642" i="1"/>
  <c r="P642" i="1"/>
  <c r="M643" i="1"/>
  <c r="N643" i="1"/>
  <c r="O643" i="1"/>
  <c r="P643" i="1"/>
  <c r="J644" i="1"/>
  <c r="M644" i="1"/>
  <c r="N644" i="1"/>
  <c r="O644" i="1"/>
  <c r="P644" i="1"/>
  <c r="J645" i="1"/>
  <c r="K645" i="1"/>
  <c r="M645" i="1"/>
  <c r="N645" i="1"/>
  <c r="O645" i="1"/>
  <c r="P645" i="1"/>
  <c r="J646" i="1"/>
  <c r="M646" i="1"/>
  <c r="N646" i="1"/>
  <c r="O646" i="1"/>
  <c r="P646" i="1"/>
  <c r="J647" i="1"/>
  <c r="M647" i="1"/>
  <c r="N647" i="1"/>
  <c r="O647" i="1"/>
  <c r="P647" i="1"/>
  <c r="J648" i="1"/>
  <c r="K648" i="1"/>
  <c r="M648" i="1"/>
  <c r="N648" i="1"/>
  <c r="P648" i="1"/>
  <c r="J649" i="1"/>
  <c r="M649" i="1"/>
  <c r="N649" i="1"/>
  <c r="O649" i="1"/>
  <c r="P649" i="1"/>
  <c r="J650" i="1"/>
  <c r="M650" i="1"/>
  <c r="N650" i="1"/>
  <c r="O650" i="1"/>
  <c r="P650" i="1"/>
  <c r="J651" i="1"/>
  <c r="K651" i="1"/>
  <c r="M651" i="1"/>
  <c r="N651" i="1"/>
  <c r="O651" i="1"/>
  <c r="P651" i="1"/>
  <c r="J652" i="1"/>
  <c r="M652" i="1"/>
  <c r="O652" i="1"/>
  <c r="P652" i="1"/>
  <c r="J653" i="1"/>
  <c r="M653" i="1"/>
  <c r="N653" i="1"/>
  <c r="O653" i="1"/>
  <c r="P653" i="1"/>
  <c r="J654" i="1"/>
  <c r="K654" i="1"/>
  <c r="M654" i="1"/>
  <c r="N654" i="1"/>
  <c r="P654" i="1"/>
  <c r="J655" i="1"/>
  <c r="M655" i="1"/>
  <c r="N655" i="1"/>
  <c r="O655" i="1"/>
  <c r="P655" i="1"/>
  <c r="J656" i="1"/>
  <c r="M656" i="1"/>
  <c r="N656" i="1"/>
  <c r="O656" i="1"/>
  <c r="P656" i="1"/>
  <c r="J657" i="1"/>
  <c r="K657" i="1"/>
  <c r="M657" i="1"/>
  <c r="N657" i="1"/>
  <c r="O657" i="1"/>
  <c r="P657" i="1"/>
  <c r="J658" i="1"/>
  <c r="M658" i="1"/>
  <c r="O658" i="1"/>
  <c r="P658" i="1"/>
  <c r="J659" i="1"/>
  <c r="M659" i="1"/>
  <c r="N659" i="1"/>
  <c r="O659" i="1"/>
  <c r="J660" i="1"/>
  <c r="K660" i="1"/>
  <c r="M660" i="1"/>
  <c r="N660" i="1"/>
  <c r="P660" i="1"/>
  <c r="J661" i="1"/>
  <c r="M661" i="1"/>
  <c r="N661" i="1"/>
  <c r="O661" i="1"/>
  <c r="P661" i="1"/>
  <c r="J662" i="1"/>
  <c r="M662" i="1"/>
  <c r="N662" i="1"/>
  <c r="O662" i="1"/>
  <c r="P662" i="1"/>
  <c r="J663" i="1"/>
  <c r="K663" i="1"/>
  <c r="M663" i="1"/>
  <c r="N663" i="1"/>
  <c r="O663" i="1"/>
  <c r="P663" i="1"/>
  <c r="M664" i="1"/>
  <c r="O664" i="1"/>
  <c r="P664" i="1"/>
  <c r="J665" i="1"/>
  <c r="M665" i="1"/>
  <c r="N665" i="1"/>
  <c r="O665" i="1"/>
  <c r="P665" i="1"/>
  <c r="J666" i="1"/>
  <c r="K666" i="1"/>
  <c r="M666" i="1"/>
  <c r="N666" i="1"/>
  <c r="P666" i="1"/>
  <c r="J667" i="1"/>
  <c r="M667" i="1"/>
  <c r="N667" i="1"/>
  <c r="O667" i="1"/>
  <c r="P667" i="1"/>
  <c r="J668" i="1"/>
  <c r="M668" i="1"/>
  <c r="N668" i="1"/>
  <c r="O668" i="1"/>
  <c r="P668" i="1"/>
  <c r="J669" i="1"/>
  <c r="K669" i="1"/>
  <c r="M669" i="1"/>
  <c r="N669" i="1"/>
  <c r="O669" i="1"/>
  <c r="P669" i="1"/>
  <c r="J670" i="1"/>
  <c r="M670" i="1"/>
  <c r="N670" i="1"/>
  <c r="O670" i="1"/>
  <c r="P670" i="1"/>
  <c r="J671" i="1"/>
  <c r="M671" i="1"/>
  <c r="N671" i="1"/>
  <c r="O671" i="1"/>
  <c r="P671" i="1"/>
  <c r="J672" i="1"/>
  <c r="K672" i="1"/>
  <c r="M672" i="1"/>
  <c r="N672" i="1"/>
  <c r="P672" i="1"/>
  <c r="J673" i="1"/>
  <c r="M673" i="1"/>
  <c r="N673" i="1"/>
  <c r="O673" i="1"/>
  <c r="P673" i="1"/>
  <c r="J674" i="1"/>
  <c r="M674" i="1"/>
  <c r="N674" i="1"/>
  <c r="O674" i="1"/>
  <c r="P674" i="1"/>
  <c r="J675" i="1"/>
  <c r="K675" i="1"/>
  <c r="M675" i="1"/>
  <c r="N675" i="1"/>
  <c r="O675" i="1"/>
  <c r="P675" i="1"/>
  <c r="J676" i="1"/>
  <c r="M676" i="1"/>
  <c r="N676" i="1"/>
  <c r="O676" i="1"/>
  <c r="P676" i="1"/>
  <c r="J677" i="1"/>
  <c r="M677" i="1"/>
  <c r="N677" i="1"/>
  <c r="O677" i="1"/>
  <c r="J678" i="1"/>
  <c r="K678" i="1"/>
  <c r="M678" i="1"/>
  <c r="N678" i="1"/>
  <c r="P678" i="1"/>
  <c r="J679" i="1"/>
  <c r="M679" i="1"/>
  <c r="N679" i="1"/>
  <c r="O679" i="1"/>
  <c r="P679" i="1"/>
  <c r="J680" i="1"/>
  <c r="K680" i="1"/>
  <c r="M680" i="1"/>
  <c r="N680" i="1"/>
  <c r="O680" i="1"/>
  <c r="P680" i="1"/>
  <c r="J681" i="1"/>
  <c r="K681" i="1"/>
  <c r="M681" i="1"/>
  <c r="N681" i="1"/>
  <c r="O681" i="1"/>
  <c r="P681" i="1"/>
  <c r="M682" i="1"/>
  <c r="O682" i="1"/>
  <c r="P682" i="1"/>
  <c r="J683" i="1"/>
  <c r="M683" i="1"/>
  <c r="N683" i="1"/>
  <c r="O683" i="1"/>
  <c r="P683" i="1"/>
  <c r="J684" i="1"/>
  <c r="K684" i="1"/>
  <c r="M684" i="1"/>
  <c r="N684" i="1"/>
  <c r="P684" i="1"/>
  <c r="J685" i="1"/>
  <c r="M685" i="1"/>
  <c r="N685" i="1"/>
  <c r="O685" i="1"/>
  <c r="P685" i="1"/>
  <c r="J686" i="1"/>
  <c r="M686" i="1"/>
  <c r="N686" i="1"/>
  <c r="O686" i="1"/>
  <c r="P686" i="1"/>
  <c r="J687" i="1"/>
  <c r="K687" i="1"/>
  <c r="M687" i="1"/>
  <c r="N687" i="1"/>
  <c r="O687" i="1"/>
  <c r="P687" i="1"/>
  <c r="J688" i="1"/>
  <c r="M688" i="1"/>
  <c r="N688" i="1"/>
  <c r="O688" i="1"/>
  <c r="P688" i="1"/>
  <c r="J689" i="1"/>
  <c r="M689" i="1"/>
  <c r="N689" i="1"/>
  <c r="O689" i="1"/>
  <c r="P689" i="1"/>
  <c r="J690" i="1"/>
  <c r="K690" i="1"/>
  <c r="M690" i="1"/>
  <c r="N690" i="1"/>
  <c r="P690" i="1"/>
  <c r="J691" i="1"/>
  <c r="K691" i="1"/>
  <c r="M691" i="1"/>
  <c r="N691" i="1"/>
  <c r="O691" i="1"/>
  <c r="P691" i="1"/>
  <c r="J692" i="1"/>
  <c r="M692" i="1"/>
  <c r="N692" i="1"/>
  <c r="O692" i="1"/>
  <c r="J693" i="1"/>
  <c r="K693" i="1"/>
  <c r="M693" i="1"/>
  <c r="N693" i="1"/>
  <c r="O693" i="1"/>
  <c r="P693" i="1"/>
  <c r="J694" i="1"/>
  <c r="M694" i="1"/>
  <c r="N694" i="1"/>
  <c r="O694" i="1"/>
  <c r="P694" i="1"/>
  <c r="J695" i="1"/>
  <c r="M695" i="1"/>
  <c r="N695" i="1"/>
  <c r="O695" i="1"/>
  <c r="P695" i="1"/>
  <c r="J696" i="1"/>
  <c r="K696" i="1"/>
  <c r="M696" i="1"/>
  <c r="N696" i="1"/>
  <c r="P696" i="1"/>
  <c r="M697" i="1"/>
  <c r="N697" i="1"/>
  <c r="O697" i="1"/>
  <c r="P697" i="1"/>
  <c r="J698" i="1"/>
  <c r="M698" i="1"/>
  <c r="N698" i="1"/>
  <c r="O698" i="1"/>
  <c r="P698" i="1"/>
  <c r="J699" i="1"/>
  <c r="K699" i="1"/>
  <c r="M699" i="1"/>
  <c r="N699" i="1"/>
  <c r="O699" i="1"/>
  <c r="P699" i="1"/>
  <c r="J700" i="1"/>
  <c r="M700" i="1"/>
  <c r="N700" i="1"/>
  <c r="O700" i="1"/>
  <c r="P700" i="1"/>
  <c r="J701" i="1"/>
  <c r="M701" i="1"/>
  <c r="N701" i="1"/>
  <c r="O701" i="1"/>
  <c r="P701" i="1"/>
  <c r="J702" i="1"/>
  <c r="K702" i="1"/>
  <c r="M702" i="1"/>
  <c r="N702" i="1"/>
  <c r="P702" i="1"/>
  <c r="J703" i="1"/>
  <c r="M703" i="1"/>
  <c r="N703" i="1"/>
  <c r="O703" i="1"/>
  <c r="P703" i="1"/>
  <c r="J704" i="1"/>
  <c r="M704" i="1"/>
  <c r="N704" i="1"/>
  <c r="O704" i="1"/>
  <c r="P704" i="1"/>
  <c r="J705" i="1"/>
  <c r="K705" i="1"/>
  <c r="M705" i="1"/>
  <c r="N705" i="1"/>
  <c r="O705" i="1"/>
  <c r="P705" i="1"/>
  <c r="J706" i="1"/>
  <c r="M706" i="1"/>
  <c r="N706" i="1"/>
  <c r="O706" i="1"/>
  <c r="P706" i="1"/>
  <c r="J707" i="1"/>
  <c r="M707" i="1"/>
  <c r="N707" i="1"/>
  <c r="O707" i="1"/>
  <c r="P707" i="1"/>
  <c r="J708" i="1"/>
  <c r="K708" i="1"/>
  <c r="M708" i="1"/>
  <c r="N708" i="1"/>
  <c r="P708" i="1"/>
  <c r="J709" i="1"/>
  <c r="M709" i="1"/>
  <c r="N709" i="1"/>
  <c r="O709" i="1"/>
  <c r="P709" i="1"/>
  <c r="J710" i="1"/>
  <c r="M710" i="1"/>
  <c r="N710" i="1"/>
  <c r="O710" i="1"/>
  <c r="J711" i="1"/>
  <c r="K711" i="1"/>
  <c r="M711" i="1"/>
  <c r="O711" i="1"/>
  <c r="P711" i="1"/>
  <c r="J712" i="1"/>
  <c r="M712" i="1"/>
  <c r="O712" i="1"/>
  <c r="P712" i="1"/>
  <c r="J713" i="1"/>
  <c r="M713" i="1"/>
  <c r="N713" i="1"/>
  <c r="O713" i="1"/>
  <c r="P713" i="1"/>
  <c r="J714" i="1"/>
  <c r="K714" i="1"/>
  <c r="M714" i="1"/>
  <c r="N714" i="1"/>
  <c r="P714" i="1"/>
  <c r="M715" i="1"/>
  <c r="N715" i="1"/>
  <c r="O715" i="1"/>
  <c r="P715" i="1"/>
  <c r="J716" i="1"/>
  <c r="M716" i="1"/>
  <c r="N716" i="1"/>
  <c r="O716" i="1"/>
  <c r="P716" i="1"/>
  <c r="J717" i="1"/>
  <c r="K717" i="1"/>
  <c r="M717" i="1"/>
  <c r="N717" i="1"/>
  <c r="O717" i="1"/>
  <c r="P717" i="1"/>
  <c r="J718" i="1"/>
  <c r="M718" i="1"/>
  <c r="N718" i="1"/>
  <c r="O718" i="1"/>
  <c r="P718" i="1"/>
  <c r="J719" i="1"/>
  <c r="M719" i="1"/>
  <c r="N719" i="1"/>
  <c r="O719" i="1"/>
  <c r="P719" i="1"/>
  <c r="J720" i="1"/>
  <c r="K720" i="1"/>
  <c r="M720" i="1"/>
  <c r="N720" i="1"/>
  <c r="P720" i="1"/>
  <c r="J721" i="1"/>
  <c r="M721" i="1"/>
  <c r="N721" i="1"/>
  <c r="O721" i="1"/>
  <c r="P721" i="1"/>
  <c r="J722" i="1"/>
  <c r="M722" i="1"/>
  <c r="N722" i="1"/>
  <c r="O722" i="1"/>
  <c r="P722" i="1"/>
  <c r="J723" i="1"/>
  <c r="K723" i="1"/>
  <c r="M723" i="1"/>
  <c r="O723" i="1"/>
  <c r="P723" i="1"/>
  <c r="J724" i="1"/>
  <c r="M724" i="1"/>
  <c r="O724" i="1"/>
  <c r="P724" i="1"/>
  <c r="J725" i="1"/>
  <c r="M725" i="1"/>
  <c r="N725" i="1"/>
  <c r="O725" i="1"/>
  <c r="P725" i="1"/>
  <c r="J726" i="1"/>
  <c r="K726" i="1"/>
  <c r="M726" i="1"/>
  <c r="N726" i="1"/>
  <c r="P726" i="1"/>
  <c r="J727" i="1"/>
  <c r="M727" i="1"/>
  <c r="N727" i="1"/>
  <c r="O727" i="1"/>
  <c r="P727" i="1"/>
  <c r="J728" i="1"/>
  <c r="M728" i="1"/>
  <c r="N728" i="1"/>
  <c r="O728" i="1"/>
  <c r="P728" i="1"/>
  <c r="J729" i="1"/>
  <c r="K729" i="1"/>
  <c r="M729" i="1"/>
  <c r="N729" i="1"/>
  <c r="O729" i="1"/>
  <c r="P729" i="1"/>
  <c r="J730" i="1"/>
  <c r="M730" i="1"/>
  <c r="N730" i="1"/>
  <c r="O730" i="1"/>
  <c r="P730" i="1"/>
  <c r="J731" i="1"/>
  <c r="M731" i="1"/>
  <c r="N731" i="1"/>
  <c r="O731" i="1"/>
  <c r="J732" i="1"/>
  <c r="K732" i="1"/>
  <c r="M732" i="1"/>
  <c r="N732" i="1"/>
  <c r="P732" i="1"/>
  <c r="J733" i="1"/>
  <c r="M733" i="1"/>
  <c r="N733" i="1"/>
  <c r="O733" i="1"/>
  <c r="P733" i="1"/>
  <c r="J734" i="1"/>
  <c r="M734" i="1"/>
  <c r="N734" i="1"/>
  <c r="O734" i="1"/>
  <c r="P734" i="1"/>
  <c r="J735" i="1"/>
  <c r="K735" i="1"/>
  <c r="M735" i="1"/>
  <c r="O735" i="1"/>
  <c r="P735" i="1"/>
  <c r="M736" i="1"/>
  <c r="O736" i="1"/>
  <c r="P736" i="1"/>
  <c r="J737" i="1"/>
  <c r="M737" i="1"/>
  <c r="O737" i="1"/>
  <c r="P737" i="1"/>
  <c r="J738" i="1"/>
  <c r="K738" i="1"/>
  <c r="M738" i="1"/>
  <c r="N738" i="1"/>
  <c r="P738" i="1"/>
  <c r="J739" i="1"/>
  <c r="M739" i="1"/>
  <c r="N739" i="1"/>
  <c r="O739" i="1"/>
  <c r="P739" i="1"/>
  <c r="J740" i="1"/>
  <c r="M740" i="1"/>
  <c r="N740" i="1"/>
  <c r="O740" i="1"/>
  <c r="P740" i="1"/>
  <c r="J741" i="1"/>
  <c r="K741" i="1"/>
  <c r="M741" i="1"/>
  <c r="N741" i="1"/>
  <c r="O741" i="1"/>
  <c r="P741" i="1"/>
  <c r="J742" i="1"/>
  <c r="M742" i="1"/>
  <c r="N742" i="1"/>
  <c r="O742" i="1"/>
  <c r="P742" i="1"/>
  <c r="J743" i="1"/>
  <c r="M743" i="1"/>
  <c r="N743" i="1"/>
  <c r="O743" i="1"/>
  <c r="P743" i="1"/>
  <c r="J744" i="1"/>
  <c r="K744" i="1"/>
  <c r="M744" i="1"/>
  <c r="N744" i="1"/>
  <c r="P744" i="1"/>
  <c r="J745" i="1"/>
  <c r="M745" i="1"/>
  <c r="N745" i="1"/>
  <c r="O745" i="1"/>
  <c r="P745" i="1"/>
  <c r="J746" i="1"/>
  <c r="M746" i="1"/>
  <c r="N746" i="1"/>
  <c r="O746" i="1"/>
  <c r="P746" i="1"/>
  <c r="J747" i="1"/>
  <c r="K747" i="1"/>
  <c r="M747" i="1"/>
  <c r="O747" i="1"/>
  <c r="P747" i="1"/>
  <c r="J748" i="1"/>
  <c r="M748" i="1"/>
  <c r="N748" i="1"/>
  <c r="O748" i="1"/>
  <c r="P748" i="1"/>
  <c r="J749" i="1"/>
  <c r="M749" i="1"/>
  <c r="N749" i="1"/>
  <c r="O749" i="1"/>
  <c r="J750" i="1"/>
  <c r="K750" i="1"/>
  <c r="M750" i="1"/>
  <c r="N750" i="1"/>
  <c r="P750" i="1"/>
  <c r="J751" i="1"/>
  <c r="M751" i="1"/>
  <c r="N751" i="1"/>
  <c r="O751" i="1"/>
  <c r="P751" i="1"/>
  <c r="J752" i="1"/>
  <c r="K752" i="1"/>
  <c r="M752" i="1"/>
  <c r="N752" i="1"/>
  <c r="O752" i="1"/>
  <c r="P752" i="1"/>
  <c r="J753" i="1"/>
  <c r="K753" i="1"/>
  <c r="M753" i="1"/>
  <c r="N753" i="1"/>
  <c r="O753" i="1"/>
  <c r="P753" i="1"/>
  <c r="M754" i="1"/>
  <c r="N754" i="1"/>
  <c r="O754" i="1"/>
  <c r="P754" i="1"/>
  <c r="J755" i="1"/>
  <c r="K755" i="1"/>
  <c r="M755" i="1"/>
  <c r="N755" i="1"/>
  <c r="O755" i="1"/>
  <c r="P755" i="1"/>
  <c r="J756" i="1"/>
  <c r="K756" i="1"/>
  <c r="M756" i="1"/>
  <c r="N756" i="1"/>
  <c r="P756" i="1"/>
  <c r="J757" i="1"/>
  <c r="M757" i="1"/>
  <c r="N757" i="1"/>
  <c r="O757" i="1"/>
  <c r="P757" i="1"/>
  <c r="J758" i="1"/>
  <c r="M758" i="1"/>
  <c r="N758" i="1"/>
  <c r="O758" i="1"/>
  <c r="P758" i="1"/>
  <c r="J759" i="1"/>
  <c r="K759" i="1"/>
  <c r="M759" i="1"/>
  <c r="N759" i="1"/>
  <c r="O759" i="1"/>
  <c r="P759" i="1"/>
  <c r="J760" i="1"/>
  <c r="M760" i="1"/>
  <c r="O760" i="1"/>
  <c r="P760" i="1"/>
  <c r="J761" i="1"/>
  <c r="M761" i="1"/>
  <c r="N761" i="1"/>
  <c r="O761" i="1"/>
  <c r="P761" i="1"/>
  <c r="J762" i="1"/>
  <c r="K762" i="1"/>
  <c r="M762" i="1"/>
  <c r="N762" i="1"/>
  <c r="P762" i="1"/>
  <c r="J763" i="1"/>
  <c r="M763" i="1"/>
  <c r="N763" i="1"/>
  <c r="O763" i="1"/>
  <c r="P763" i="1"/>
  <c r="J764" i="1"/>
  <c r="M764" i="1"/>
  <c r="N764" i="1"/>
  <c r="O764" i="1"/>
  <c r="J765" i="1"/>
  <c r="K765" i="1"/>
  <c r="M765" i="1"/>
  <c r="N765" i="1"/>
  <c r="O765" i="1"/>
  <c r="P765" i="1"/>
  <c r="J766" i="1"/>
  <c r="M766" i="1"/>
  <c r="N766" i="1"/>
  <c r="O766" i="1"/>
  <c r="P766" i="1"/>
  <c r="J767" i="1"/>
  <c r="M767" i="1"/>
  <c r="N767" i="1"/>
  <c r="O767" i="1"/>
  <c r="P767" i="1"/>
  <c r="J768" i="1"/>
  <c r="K768" i="1"/>
  <c r="M768" i="1"/>
  <c r="N768" i="1"/>
  <c r="P768" i="1"/>
  <c r="M769" i="1"/>
  <c r="N769" i="1"/>
  <c r="O769" i="1"/>
  <c r="P769" i="1"/>
  <c r="J770" i="1"/>
  <c r="M770" i="1"/>
  <c r="N770" i="1"/>
  <c r="O770" i="1"/>
  <c r="P770" i="1"/>
  <c r="J771" i="1"/>
  <c r="K771" i="1"/>
  <c r="M771" i="1"/>
  <c r="N771" i="1"/>
  <c r="O771" i="1"/>
  <c r="P771" i="1"/>
  <c r="J772" i="1"/>
  <c r="M772" i="1"/>
  <c r="O772" i="1"/>
  <c r="P772" i="1"/>
  <c r="J773" i="1"/>
  <c r="K773" i="1"/>
  <c r="M773" i="1"/>
  <c r="N773" i="1"/>
  <c r="O773" i="1"/>
  <c r="P773" i="1"/>
  <c r="J774" i="1"/>
  <c r="K774" i="1"/>
  <c r="M774" i="1"/>
  <c r="N774" i="1"/>
  <c r="P774" i="1"/>
  <c r="J775" i="1"/>
  <c r="M775" i="1"/>
  <c r="N775" i="1"/>
  <c r="O775" i="1"/>
  <c r="P775" i="1"/>
  <c r="J776" i="1"/>
  <c r="M776" i="1"/>
  <c r="N776" i="1"/>
  <c r="O776" i="1"/>
  <c r="P776" i="1"/>
  <c r="J777" i="1"/>
  <c r="K777" i="1"/>
  <c r="M777" i="1"/>
  <c r="N777" i="1"/>
  <c r="O777" i="1"/>
  <c r="P777" i="1"/>
  <c r="J778" i="1"/>
  <c r="M778" i="1"/>
  <c r="O778" i="1"/>
  <c r="P778" i="1"/>
  <c r="J779" i="1"/>
  <c r="M779" i="1"/>
  <c r="N779" i="1"/>
  <c r="O779" i="1"/>
  <c r="P779" i="1"/>
  <c r="J780" i="1"/>
  <c r="K780" i="1"/>
  <c r="M780" i="1"/>
  <c r="N780" i="1"/>
  <c r="P780" i="1"/>
  <c r="J781" i="1"/>
  <c r="M781" i="1"/>
  <c r="N781" i="1"/>
  <c r="O781" i="1"/>
  <c r="P781" i="1"/>
  <c r="J782" i="1"/>
  <c r="M782" i="1"/>
  <c r="N782" i="1"/>
  <c r="O782" i="1"/>
  <c r="J783" i="1"/>
  <c r="K783" i="1"/>
  <c r="M783" i="1"/>
  <c r="N783" i="1"/>
  <c r="O783" i="1"/>
  <c r="P783" i="1"/>
  <c r="J784" i="1"/>
  <c r="M784" i="1"/>
  <c r="O784" i="1"/>
  <c r="P784" i="1"/>
  <c r="J785" i="1"/>
  <c r="M785" i="1"/>
  <c r="N785" i="1"/>
  <c r="O785" i="1"/>
  <c r="P785" i="1"/>
  <c r="J786" i="1"/>
  <c r="K786" i="1"/>
  <c r="M786" i="1"/>
  <c r="P786" i="1"/>
  <c r="M787" i="1"/>
  <c r="N787" i="1"/>
  <c r="O787" i="1"/>
  <c r="P787" i="1"/>
  <c r="J788" i="1"/>
  <c r="M788" i="1"/>
  <c r="N788" i="1"/>
  <c r="O788" i="1"/>
  <c r="P788" i="1"/>
  <c r="J789" i="1"/>
  <c r="K789" i="1"/>
  <c r="M789" i="1"/>
  <c r="N789" i="1"/>
  <c r="O789" i="1"/>
  <c r="P789" i="1"/>
  <c r="J790" i="1"/>
  <c r="M790" i="1"/>
  <c r="N790" i="1"/>
  <c r="O790" i="1"/>
  <c r="P790" i="1"/>
  <c r="J791" i="1"/>
  <c r="K791" i="1"/>
  <c r="M791" i="1"/>
  <c r="N791" i="1"/>
  <c r="O791" i="1"/>
  <c r="P791" i="1"/>
  <c r="J792" i="1"/>
  <c r="K792" i="1"/>
  <c r="M792" i="1"/>
  <c r="N792" i="1"/>
  <c r="P792" i="1"/>
  <c r="J793" i="1"/>
  <c r="M793" i="1"/>
  <c r="N793" i="1"/>
  <c r="O793" i="1"/>
  <c r="P793" i="1"/>
  <c r="J794" i="1"/>
  <c r="M794" i="1"/>
  <c r="N794" i="1"/>
  <c r="O794" i="1"/>
  <c r="P794" i="1"/>
  <c r="J795" i="1"/>
  <c r="K795" i="1"/>
  <c r="M795" i="1"/>
  <c r="N795" i="1"/>
  <c r="O795" i="1"/>
  <c r="P795" i="1"/>
  <c r="J796" i="1"/>
  <c r="M796" i="1"/>
  <c r="N796" i="1"/>
  <c r="O796" i="1"/>
  <c r="P796" i="1"/>
  <c r="J797" i="1"/>
  <c r="M797" i="1"/>
  <c r="N797" i="1"/>
  <c r="O797" i="1"/>
  <c r="P797" i="1"/>
  <c r="J798" i="1"/>
  <c r="K798" i="1"/>
  <c r="M798" i="1"/>
  <c r="N798" i="1"/>
  <c r="P798" i="1"/>
  <c r="J799" i="1"/>
  <c r="M799" i="1"/>
  <c r="N799" i="1"/>
  <c r="O799" i="1"/>
  <c r="P799" i="1"/>
  <c r="J800" i="1"/>
  <c r="K800" i="1"/>
  <c r="M800" i="1"/>
  <c r="N800" i="1"/>
  <c r="O800" i="1"/>
  <c r="P800" i="1"/>
  <c r="J801" i="1"/>
  <c r="K801" i="1"/>
  <c r="M801" i="1"/>
  <c r="N801" i="1"/>
  <c r="O801" i="1"/>
  <c r="P801" i="1"/>
  <c r="J802" i="1"/>
  <c r="M802" i="1"/>
  <c r="N802" i="1"/>
  <c r="O802" i="1"/>
  <c r="P802" i="1"/>
  <c r="J803" i="1"/>
  <c r="M803" i="1"/>
  <c r="N803" i="1"/>
  <c r="O803" i="1"/>
  <c r="J804" i="1"/>
  <c r="K804" i="1"/>
  <c r="M804" i="1"/>
  <c r="N804" i="1"/>
  <c r="P804" i="1"/>
  <c r="J805" i="1"/>
  <c r="M805" i="1"/>
  <c r="N805" i="1"/>
  <c r="O805" i="1"/>
  <c r="P805" i="1"/>
  <c r="J806" i="1"/>
  <c r="K806" i="1"/>
  <c r="M806" i="1"/>
  <c r="N806" i="1"/>
  <c r="O806" i="1"/>
  <c r="P806" i="1"/>
  <c r="J807" i="1"/>
  <c r="K807" i="1"/>
  <c r="M807" i="1"/>
  <c r="N807" i="1"/>
  <c r="O807" i="1"/>
  <c r="P807" i="1"/>
  <c r="M808" i="1"/>
  <c r="N808" i="1"/>
  <c r="O808" i="1"/>
  <c r="P808" i="1"/>
  <c r="J809" i="1"/>
  <c r="M809" i="1"/>
  <c r="N809" i="1"/>
  <c r="O809" i="1"/>
  <c r="P809" i="1"/>
  <c r="J810" i="1"/>
  <c r="K810" i="1"/>
  <c r="M810" i="1"/>
  <c r="P810" i="1"/>
  <c r="J811" i="1"/>
  <c r="M811" i="1"/>
  <c r="N811" i="1"/>
  <c r="O811" i="1"/>
  <c r="P811" i="1"/>
  <c r="J812" i="1"/>
  <c r="M812" i="1"/>
  <c r="N812" i="1"/>
  <c r="O812" i="1"/>
  <c r="P812" i="1"/>
  <c r="J813" i="1"/>
  <c r="K813" i="1"/>
  <c r="M813" i="1"/>
  <c r="N813" i="1"/>
  <c r="O813" i="1"/>
  <c r="P813" i="1"/>
  <c r="J814" i="1"/>
  <c r="M814" i="1"/>
  <c r="N814" i="1"/>
  <c r="O814" i="1"/>
  <c r="P814" i="1"/>
  <c r="J815" i="1"/>
  <c r="M815" i="1"/>
  <c r="N815" i="1"/>
  <c r="O815" i="1"/>
  <c r="P815" i="1"/>
  <c r="J816" i="1"/>
  <c r="K816" i="1"/>
  <c r="M816" i="1"/>
  <c r="N816" i="1"/>
  <c r="P816" i="1"/>
  <c r="J817" i="1"/>
  <c r="M817" i="1"/>
  <c r="N817" i="1"/>
  <c r="O817" i="1"/>
  <c r="P817" i="1"/>
  <c r="J818" i="1"/>
  <c r="M818" i="1"/>
  <c r="O818" i="1"/>
  <c r="P818" i="1"/>
  <c r="J819" i="1"/>
  <c r="K819" i="1"/>
  <c r="M819" i="1"/>
  <c r="N819" i="1"/>
  <c r="O819" i="1"/>
  <c r="P819" i="1"/>
  <c r="J820" i="1"/>
  <c r="M820" i="1"/>
  <c r="O820" i="1"/>
  <c r="P820" i="1"/>
  <c r="J821" i="1"/>
  <c r="K821" i="1"/>
  <c r="M821" i="1"/>
  <c r="O821" i="1"/>
  <c r="J822" i="1"/>
  <c r="K822" i="1"/>
  <c r="M822" i="1"/>
  <c r="P822" i="1"/>
  <c r="J823" i="1"/>
  <c r="M823" i="1"/>
  <c r="N823" i="1"/>
  <c r="O823" i="1"/>
  <c r="P823" i="1"/>
  <c r="J824" i="1"/>
  <c r="M824" i="1"/>
  <c r="N824" i="1"/>
  <c r="O824" i="1"/>
  <c r="P824" i="1"/>
  <c r="J825" i="1"/>
  <c r="K825" i="1"/>
  <c r="M825" i="1"/>
  <c r="N825" i="1"/>
  <c r="O825" i="1"/>
  <c r="P825" i="1"/>
  <c r="M826" i="1"/>
  <c r="N826" i="1"/>
  <c r="O826" i="1"/>
  <c r="P826" i="1"/>
  <c r="J827" i="1"/>
  <c r="K827" i="1"/>
  <c r="M827" i="1"/>
  <c r="N827" i="1"/>
  <c r="O827" i="1"/>
  <c r="P827" i="1"/>
  <c r="J828" i="1"/>
  <c r="K828" i="1"/>
  <c r="M828" i="1"/>
  <c r="N828" i="1"/>
  <c r="P828" i="1"/>
  <c r="J829" i="1"/>
  <c r="M829" i="1"/>
  <c r="N829" i="1"/>
  <c r="O829" i="1"/>
  <c r="P829" i="1"/>
  <c r="J830" i="1"/>
  <c r="M830" i="1"/>
  <c r="O830" i="1"/>
  <c r="P830" i="1"/>
  <c r="J831" i="1"/>
  <c r="K831" i="1"/>
  <c r="M831" i="1"/>
  <c r="O831" i="1"/>
  <c r="P831" i="1"/>
  <c r="J832" i="1"/>
  <c r="M832" i="1"/>
  <c r="O832" i="1"/>
  <c r="P832" i="1"/>
  <c r="J833" i="1"/>
  <c r="M833" i="1"/>
  <c r="N833" i="1"/>
  <c r="O833" i="1"/>
  <c r="P833" i="1"/>
  <c r="J834" i="1"/>
  <c r="K834" i="1"/>
  <c r="M834" i="1"/>
  <c r="N834" i="1"/>
  <c r="P834" i="1"/>
  <c r="J835" i="1"/>
  <c r="M835" i="1"/>
  <c r="N835" i="1"/>
  <c r="O835" i="1"/>
  <c r="P835" i="1"/>
  <c r="J836" i="1"/>
  <c r="M836" i="1"/>
  <c r="N836" i="1"/>
  <c r="O836" i="1"/>
  <c r="J837" i="1"/>
  <c r="K837" i="1"/>
  <c r="M837" i="1"/>
  <c r="N837" i="1"/>
  <c r="O837" i="1"/>
  <c r="P837" i="1"/>
  <c r="J838" i="1"/>
  <c r="M838" i="1"/>
  <c r="N838" i="1"/>
  <c r="O838" i="1"/>
  <c r="P838" i="1"/>
  <c r="J839" i="1"/>
  <c r="M839" i="1"/>
  <c r="O839" i="1"/>
  <c r="P839" i="1"/>
  <c r="J840" i="1"/>
  <c r="K840" i="1"/>
  <c r="M840" i="1"/>
  <c r="N840" i="1"/>
  <c r="P840" i="1"/>
  <c r="M841" i="1"/>
  <c r="N841" i="1"/>
  <c r="O841" i="1"/>
  <c r="P841" i="1"/>
  <c r="J842" i="1"/>
  <c r="M842" i="1"/>
  <c r="N842" i="1"/>
  <c r="O842" i="1"/>
  <c r="P842" i="1"/>
  <c r="J843" i="1"/>
  <c r="K843" i="1"/>
  <c r="M843" i="1"/>
  <c r="O843" i="1"/>
  <c r="P843" i="1"/>
  <c r="J844" i="1"/>
  <c r="M844" i="1"/>
  <c r="O844" i="1"/>
  <c r="P844" i="1"/>
  <c r="J845" i="1"/>
  <c r="K845" i="1"/>
  <c r="M845" i="1"/>
  <c r="N845" i="1"/>
  <c r="O845" i="1"/>
  <c r="P845" i="1"/>
  <c r="J846" i="1"/>
  <c r="K846" i="1"/>
  <c r="M846" i="1"/>
  <c r="P846" i="1"/>
  <c r="J847" i="1"/>
  <c r="M847" i="1"/>
  <c r="N847" i="1"/>
  <c r="O847" i="1"/>
  <c r="P847" i="1"/>
  <c r="J848" i="1"/>
  <c r="M848" i="1"/>
  <c r="N848" i="1"/>
  <c r="O848" i="1"/>
  <c r="P848" i="1"/>
  <c r="J849" i="1"/>
  <c r="K849" i="1"/>
  <c r="M849" i="1"/>
  <c r="N849" i="1"/>
  <c r="O849" i="1"/>
  <c r="P849" i="1"/>
  <c r="J850" i="1"/>
  <c r="M850" i="1"/>
  <c r="N850" i="1"/>
  <c r="O850" i="1"/>
  <c r="P850" i="1"/>
  <c r="J851" i="1"/>
  <c r="M851" i="1"/>
  <c r="O851" i="1"/>
  <c r="P851" i="1"/>
  <c r="J852" i="1"/>
  <c r="K852" i="1"/>
  <c r="M852" i="1"/>
  <c r="N852" i="1"/>
  <c r="P852" i="1"/>
  <c r="J853" i="1"/>
  <c r="M853" i="1"/>
  <c r="N853" i="1"/>
  <c r="O853" i="1"/>
  <c r="P853" i="1"/>
  <c r="J854" i="1"/>
  <c r="M854" i="1"/>
  <c r="N854" i="1"/>
  <c r="O854" i="1"/>
  <c r="J855" i="1"/>
  <c r="K855" i="1"/>
  <c r="M855" i="1"/>
  <c r="O855" i="1"/>
  <c r="P855" i="1"/>
  <c r="J856" i="1"/>
  <c r="M856" i="1"/>
  <c r="O856" i="1"/>
  <c r="P856" i="1"/>
  <c r="J857" i="1"/>
  <c r="M857" i="1"/>
  <c r="N857" i="1"/>
  <c r="O857" i="1"/>
  <c r="P857" i="1"/>
  <c r="J858" i="1"/>
  <c r="K858" i="1"/>
  <c r="M858" i="1"/>
  <c r="N858" i="1"/>
  <c r="P858" i="1"/>
  <c r="M859" i="1"/>
  <c r="O859" i="1"/>
  <c r="P859" i="1"/>
  <c r="J860" i="1"/>
  <c r="M860" i="1"/>
  <c r="N860" i="1"/>
  <c r="O860" i="1"/>
  <c r="P860" i="1"/>
  <c r="J861" i="1"/>
  <c r="K861" i="1"/>
  <c r="M861" i="1"/>
  <c r="N861" i="1"/>
  <c r="O861" i="1"/>
  <c r="P861" i="1"/>
  <c r="J862" i="1"/>
  <c r="M862" i="1"/>
  <c r="N862" i="1"/>
  <c r="O862" i="1"/>
  <c r="P862" i="1"/>
  <c r="J863" i="1"/>
  <c r="M863" i="1"/>
  <c r="N863" i="1"/>
  <c r="O863" i="1"/>
  <c r="P863" i="1"/>
  <c r="J864" i="1"/>
  <c r="K864" i="1"/>
  <c r="M864" i="1"/>
  <c r="N864" i="1"/>
  <c r="P864" i="1"/>
  <c r="J865" i="1"/>
  <c r="M865" i="1"/>
  <c r="N865" i="1"/>
  <c r="O865" i="1"/>
  <c r="P865" i="1"/>
  <c r="J866" i="1"/>
  <c r="K866" i="1"/>
  <c r="M866" i="1"/>
  <c r="N866" i="1"/>
  <c r="O866" i="1"/>
  <c r="P866" i="1"/>
  <c r="J867" i="1"/>
  <c r="K867" i="1"/>
  <c r="M867" i="1"/>
  <c r="O867" i="1"/>
  <c r="P867" i="1"/>
  <c r="J868" i="1"/>
  <c r="M868" i="1"/>
  <c r="O868" i="1"/>
  <c r="P868" i="1"/>
  <c r="J869" i="1"/>
  <c r="M869" i="1"/>
  <c r="N869" i="1"/>
  <c r="O869" i="1"/>
  <c r="P869" i="1"/>
  <c r="J870" i="1"/>
  <c r="K870" i="1"/>
  <c r="M870" i="1"/>
  <c r="P870" i="1"/>
  <c r="J871" i="1"/>
  <c r="M871" i="1"/>
  <c r="N871" i="1"/>
  <c r="O871" i="1"/>
  <c r="P871" i="1"/>
  <c r="J872" i="1"/>
  <c r="M872" i="1"/>
  <c r="N872" i="1"/>
  <c r="O872" i="1"/>
  <c r="P872" i="1"/>
  <c r="J873" i="1"/>
  <c r="K873" i="1"/>
  <c r="M873" i="1"/>
  <c r="N873" i="1"/>
  <c r="O873" i="1"/>
  <c r="P873" i="1"/>
  <c r="J874" i="1"/>
  <c r="M874" i="1"/>
  <c r="N874" i="1"/>
  <c r="O874" i="1"/>
  <c r="P874" i="1"/>
  <c r="J875" i="1"/>
  <c r="M875" i="1"/>
  <c r="O875" i="1"/>
  <c r="J876" i="1"/>
  <c r="K876" i="1"/>
  <c r="M876" i="1"/>
  <c r="N876" i="1"/>
  <c r="P876" i="1"/>
  <c r="J877" i="1"/>
  <c r="M877" i="1"/>
  <c r="N877" i="1"/>
  <c r="O877" i="1"/>
  <c r="P877" i="1"/>
  <c r="J878" i="1"/>
  <c r="M878" i="1"/>
  <c r="O878" i="1"/>
  <c r="P878" i="1"/>
  <c r="J879" i="1"/>
  <c r="K879" i="1"/>
  <c r="M879" i="1"/>
  <c r="O879" i="1"/>
  <c r="P879" i="1"/>
  <c r="M880" i="1"/>
  <c r="O880" i="1"/>
  <c r="P880" i="1"/>
  <c r="J881" i="1"/>
  <c r="M881" i="1"/>
  <c r="O881" i="1"/>
  <c r="P881" i="1"/>
  <c r="J882" i="1"/>
  <c r="K882" i="1"/>
  <c r="M882" i="1"/>
  <c r="P882" i="1"/>
  <c r="J883" i="1"/>
  <c r="M883" i="1"/>
  <c r="O883" i="1"/>
  <c r="P883" i="1"/>
  <c r="J884" i="1"/>
  <c r="M884" i="1"/>
  <c r="N884" i="1"/>
  <c r="O884" i="1"/>
  <c r="P884" i="1"/>
  <c r="J885" i="1"/>
  <c r="K885" i="1"/>
  <c r="M885" i="1"/>
  <c r="N885" i="1"/>
  <c r="O885" i="1"/>
  <c r="P885" i="1"/>
  <c r="J886" i="1"/>
  <c r="M886" i="1"/>
  <c r="N886" i="1"/>
  <c r="O886" i="1"/>
  <c r="P886" i="1"/>
  <c r="J887" i="1"/>
  <c r="M887" i="1"/>
  <c r="N887" i="1"/>
  <c r="O887" i="1"/>
  <c r="P887" i="1"/>
  <c r="J888" i="1"/>
  <c r="K888" i="1"/>
  <c r="M888" i="1"/>
  <c r="N888" i="1"/>
  <c r="P888" i="1"/>
  <c r="J889" i="1"/>
  <c r="M889" i="1"/>
  <c r="N889" i="1"/>
  <c r="O889" i="1"/>
  <c r="P889" i="1"/>
  <c r="J890" i="1"/>
  <c r="M890" i="1"/>
  <c r="O890" i="1"/>
  <c r="P890" i="1"/>
  <c r="J891" i="1"/>
  <c r="K891" i="1"/>
  <c r="M891" i="1"/>
  <c r="O891" i="1"/>
  <c r="P891" i="1"/>
  <c r="J892" i="1"/>
  <c r="M892" i="1"/>
  <c r="N892" i="1"/>
  <c r="O892" i="1"/>
  <c r="P892" i="1"/>
  <c r="J893" i="1"/>
  <c r="K893" i="1"/>
  <c r="M893" i="1"/>
  <c r="O893" i="1"/>
  <c r="J894" i="1"/>
  <c r="K894" i="1"/>
  <c r="M894" i="1"/>
  <c r="P894" i="1"/>
  <c r="J895" i="1"/>
  <c r="M895" i="1"/>
  <c r="N895" i="1"/>
  <c r="O895" i="1"/>
  <c r="P895" i="1"/>
  <c r="J896" i="1"/>
  <c r="M896" i="1"/>
  <c r="N896" i="1"/>
  <c r="O896" i="1"/>
  <c r="P896" i="1"/>
  <c r="J897" i="1"/>
  <c r="K897" i="1"/>
  <c r="M897" i="1"/>
  <c r="N897" i="1"/>
  <c r="O897" i="1"/>
  <c r="P897" i="1"/>
  <c r="M898" i="1"/>
  <c r="O898" i="1"/>
  <c r="P898" i="1"/>
  <c r="J899" i="1"/>
  <c r="M899" i="1"/>
  <c r="N899" i="1"/>
  <c r="O899" i="1"/>
  <c r="P899" i="1"/>
  <c r="J900" i="1"/>
  <c r="K900" i="1"/>
  <c r="M900" i="1"/>
  <c r="N900" i="1"/>
  <c r="P900" i="1"/>
  <c r="J901" i="1"/>
  <c r="M901" i="1"/>
  <c r="N901" i="1"/>
  <c r="O901" i="1"/>
  <c r="P901" i="1"/>
  <c r="J902" i="1"/>
  <c r="M902" i="1"/>
  <c r="N902" i="1"/>
  <c r="O902" i="1"/>
  <c r="P902" i="1"/>
  <c r="J903" i="1"/>
  <c r="K903" i="1"/>
  <c r="M903" i="1"/>
  <c r="O903" i="1"/>
  <c r="P903" i="1"/>
  <c r="J904" i="1"/>
  <c r="M904" i="1"/>
  <c r="O904" i="1"/>
  <c r="P904" i="1"/>
  <c r="J905" i="1"/>
  <c r="K905" i="1"/>
  <c r="M905" i="1"/>
  <c r="O905" i="1"/>
  <c r="P905" i="1"/>
  <c r="J906" i="1"/>
  <c r="K906" i="1"/>
  <c r="M906" i="1"/>
  <c r="N906" i="1"/>
  <c r="P906" i="1"/>
  <c r="J907" i="1"/>
  <c r="M907" i="1"/>
  <c r="N907" i="1"/>
  <c r="O907" i="1"/>
  <c r="P907" i="1"/>
  <c r="J908" i="1"/>
  <c r="M908" i="1"/>
  <c r="N908" i="1"/>
  <c r="O908" i="1"/>
  <c r="J909" i="1"/>
  <c r="K909" i="1"/>
  <c r="M909" i="1"/>
  <c r="N909" i="1"/>
  <c r="O909" i="1"/>
  <c r="P909" i="1"/>
  <c r="J910" i="1"/>
  <c r="M910" i="1"/>
  <c r="O910" i="1"/>
  <c r="P910" i="1"/>
  <c r="J911" i="1"/>
  <c r="M911" i="1"/>
  <c r="N911" i="1"/>
  <c r="O911" i="1"/>
  <c r="P911" i="1"/>
  <c r="J912" i="1"/>
  <c r="K912" i="1"/>
  <c r="M912" i="1"/>
  <c r="P912" i="1"/>
  <c r="M913" i="1"/>
  <c r="N913" i="1"/>
  <c r="O913" i="1"/>
  <c r="P913" i="1"/>
  <c r="J914" i="1"/>
  <c r="M914" i="1"/>
  <c r="N914" i="1"/>
  <c r="O914" i="1"/>
  <c r="P914" i="1"/>
  <c r="J915" i="1"/>
  <c r="K915" i="1"/>
  <c r="M915" i="1"/>
  <c r="O915" i="1"/>
  <c r="P915" i="1"/>
  <c r="J916" i="1"/>
  <c r="M916" i="1"/>
  <c r="O916" i="1"/>
  <c r="P916" i="1"/>
  <c r="J917" i="1"/>
  <c r="M917" i="1"/>
  <c r="N917" i="1"/>
  <c r="O917" i="1"/>
  <c r="P917" i="1"/>
  <c r="J918" i="1"/>
  <c r="K918" i="1"/>
  <c r="M918" i="1"/>
  <c r="P918" i="1"/>
  <c r="J919" i="1"/>
  <c r="M919" i="1"/>
  <c r="O919" i="1"/>
  <c r="P919" i="1"/>
  <c r="J920" i="1"/>
  <c r="K920" i="1"/>
  <c r="M920" i="1"/>
  <c r="N920" i="1"/>
  <c r="O920" i="1"/>
  <c r="P920" i="1"/>
  <c r="J921" i="1"/>
  <c r="K921" i="1"/>
  <c r="M921" i="1"/>
  <c r="N921" i="1"/>
  <c r="O921" i="1"/>
  <c r="P921" i="1"/>
  <c r="J922" i="1"/>
  <c r="K922" i="1"/>
  <c r="M922" i="1"/>
  <c r="O922" i="1"/>
  <c r="P922" i="1"/>
  <c r="J923" i="1"/>
  <c r="M923" i="1"/>
  <c r="N923" i="1"/>
  <c r="O923" i="1"/>
  <c r="P923" i="1"/>
  <c r="J924" i="1"/>
  <c r="K924" i="1"/>
  <c r="M924" i="1"/>
  <c r="P924" i="1"/>
  <c r="J925" i="1"/>
  <c r="M925" i="1"/>
  <c r="N925" i="1"/>
  <c r="O925" i="1"/>
  <c r="P925" i="1"/>
  <c r="J926" i="1"/>
  <c r="M926" i="1"/>
  <c r="O926" i="1"/>
  <c r="J927" i="1"/>
  <c r="K927" i="1"/>
  <c r="M927" i="1"/>
  <c r="O927" i="1"/>
  <c r="P927" i="1"/>
  <c r="J928" i="1"/>
  <c r="K928" i="1"/>
  <c r="M928" i="1"/>
  <c r="O928" i="1"/>
  <c r="P928" i="1"/>
  <c r="J929" i="1"/>
  <c r="M929" i="1"/>
  <c r="O929" i="1"/>
  <c r="P929" i="1"/>
  <c r="J930" i="1"/>
  <c r="K930" i="1"/>
  <c r="M930" i="1"/>
  <c r="P930" i="1"/>
  <c r="M931" i="1"/>
  <c r="O931" i="1"/>
  <c r="P931" i="1"/>
  <c r="J932" i="1"/>
  <c r="M932" i="1"/>
  <c r="N932" i="1"/>
  <c r="O932" i="1"/>
  <c r="P932" i="1"/>
  <c r="J933" i="1"/>
  <c r="K933" i="1"/>
  <c r="M933" i="1"/>
  <c r="N933" i="1"/>
  <c r="O933" i="1"/>
  <c r="P933" i="1"/>
  <c r="J934" i="1"/>
  <c r="M934" i="1"/>
  <c r="N934" i="1"/>
  <c r="O934" i="1"/>
  <c r="P934" i="1"/>
  <c r="J935" i="1"/>
  <c r="M935" i="1"/>
  <c r="O935" i="1"/>
  <c r="P935" i="1"/>
  <c r="J936" i="1"/>
  <c r="K936" i="1"/>
  <c r="M936" i="1"/>
  <c r="N936" i="1"/>
  <c r="P936" i="1"/>
  <c r="J937" i="1"/>
  <c r="M937" i="1"/>
  <c r="N937" i="1"/>
  <c r="O937" i="1"/>
  <c r="P937" i="1"/>
  <c r="J938" i="1"/>
  <c r="M938" i="1"/>
  <c r="O938" i="1"/>
  <c r="P938" i="1"/>
  <c r="J939" i="1"/>
  <c r="K939" i="1"/>
  <c r="M939" i="1"/>
  <c r="N939" i="1"/>
  <c r="O939" i="1"/>
  <c r="P939" i="1"/>
  <c r="J940" i="1"/>
  <c r="M940" i="1"/>
  <c r="O940" i="1"/>
  <c r="P940" i="1"/>
  <c r="J941" i="1"/>
  <c r="M941" i="1"/>
  <c r="O941" i="1"/>
  <c r="P941" i="1"/>
  <c r="J942" i="1"/>
  <c r="K942" i="1"/>
  <c r="M942" i="1"/>
  <c r="N942" i="1"/>
  <c r="P942" i="1"/>
  <c r="J943" i="1"/>
  <c r="M943" i="1"/>
  <c r="O943" i="1"/>
  <c r="P943" i="1"/>
  <c r="J944" i="1"/>
  <c r="M944" i="1"/>
  <c r="N944" i="1"/>
  <c r="O944" i="1"/>
  <c r="P944" i="1"/>
  <c r="J945" i="1"/>
  <c r="K945" i="1"/>
  <c r="M945" i="1"/>
  <c r="N945" i="1"/>
  <c r="O945" i="1"/>
  <c r="P945" i="1"/>
  <c r="J946" i="1"/>
  <c r="M946" i="1"/>
  <c r="N946" i="1"/>
  <c r="O946" i="1"/>
  <c r="P946" i="1"/>
  <c r="J947" i="1"/>
  <c r="K947" i="1"/>
  <c r="M947" i="1"/>
  <c r="O947" i="1"/>
  <c r="J948" i="1"/>
  <c r="K948" i="1"/>
  <c r="M948" i="1"/>
  <c r="P948" i="1"/>
  <c r="J949" i="1"/>
  <c r="M949" i="1"/>
  <c r="N949" i="1"/>
  <c r="O949" i="1"/>
  <c r="P949" i="1"/>
  <c r="J950" i="1"/>
  <c r="M950" i="1"/>
  <c r="O950" i="1"/>
  <c r="P950" i="1"/>
  <c r="J951" i="1"/>
  <c r="K951" i="1"/>
  <c r="M951" i="1"/>
  <c r="O951" i="1"/>
  <c r="P951" i="1"/>
  <c r="M952" i="1"/>
  <c r="O952" i="1"/>
  <c r="P952" i="1"/>
  <c r="J953" i="1"/>
  <c r="K953" i="1"/>
  <c r="M953" i="1"/>
  <c r="O953" i="1"/>
  <c r="P953" i="1"/>
  <c r="J954" i="1"/>
  <c r="K954" i="1"/>
  <c r="M954" i="1"/>
  <c r="P954" i="1"/>
  <c r="J955" i="1"/>
  <c r="M955" i="1"/>
  <c r="O955" i="1"/>
  <c r="P955" i="1"/>
  <c r="J956" i="1"/>
  <c r="M956" i="1"/>
  <c r="N956" i="1"/>
  <c r="O956" i="1"/>
  <c r="P956" i="1"/>
  <c r="J957" i="1"/>
  <c r="K957" i="1"/>
  <c r="M957" i="1"/>
  <c r="N957" i="1"/>
  <c r="O957" i="1"/>
  <c r="P957" i="1"/>
  <c r="J958" i="1"/>
  <c r="M958" i="1"/>
  <c r="N958" i="1"/>
  <c r="O958" i="1"/>
  <c r="P958" i="1"/>
  <c r="J959" i="1"/>
  <c r="M959" i="1"/>
  <c r="N959" i="1"/>
  <c r="O959" i="1"/>
  <c r="P959" i="1"/>
  <c r="J960" i="1"/>
  <c r="K960" i="1"/>
  <c r="M960" i="1"/>
  <c r="P960" i="1"/>
  <c r="J961" i="1"/>
  <c r="M961" i="1"/>
  <c r="N961" i="1"/>
  <c r="O961" i="1"/>
  <c r="P961" i="1"/>
  <c r="J962" i="1"/>
  <c r="M962" i="1"/>
  <c r="N962" i="1"/>
  <c r="O962" i="1"/>
  <c r="P962" i="1"/>
  <c r="J963" i="1"/>
  <c r="K963" i="1"/>
  <c r="M963" i="1"/>
  <c r="N963" i="1"/>
  <c r="O963" i="1"/>
  <c r="P963" i="1"/>
  <c r="J964" i="1"/>
  <c r="M964" i="1"/>
  <c r="O964" i="1"/>
  <c r="P964" i="1"/>
  <c r="J965" i="1"/>
  <c r="K965" i="1"/>
  <c r="M965" i="1"/>
  <c r="O965" i="1"/>
  <c r="J966" i="1"/>
  <c r="K966" i="1"/>
  <c r="M966" i="1"/>
  <c r="P966" i="1"/>
  <c r="J967" i="1"/>
  <c r="M967" i="1"/>
  <c r="O967" i="1"/>
  <c r="P967" i="1"/>
  <c r="J968" i="1"/>
  <c r="M968" i="1"/>
  <c r="N968" i="1"/>
  <c r="O968" i="1"/>
  <c r="P968" i="1"/>
  <c r="J969" i="1"/>
  <c r="K969" i="1"/>
  <c r="M969" i="1"/>
  <c r="N969" i="1"/>
  <c r="O969" i="1"/>
  <c r="P969" i="1"/>
  <c r="M970" i="1"/>
  <c r="N970" i="1"/>
  <c r="O970" i="1"/>
  <c r="P970" i="1"/>
  <c r="J971" i="1"/>
  <c r="K971" i="1"/>
  <c r="M971" i="1"/>
  <c r="O971" i="1"/>
  <c r="P971" i="1"/>
  <c r="J972" i="1"/>
  <c r="K972" i="1"/>
  <c r="M972" i="1"/>
  <c r="P972" i="1"/>
  <c r="J973" i="1"/>
  <c r="M973" i="1"/>
  <c r="N973" i="1"/>
  <c r="O973" i="1"/>
  <c r="P973" i="1"/>
  <c r="J974" i="1"/>
  <c r="M974" i="1"/>
  <c r="O974" i="1"/>
  <c r="P974" i="1"/>
  <c r="J975" i="1"/>
  <c r="K975" i="1"/>
  <c r="M975" i="1"/>
  <c r="O975" i="1"/>
  <c r="P975" i="1"/>
  <c r="J976" i="1"/>
  <c r="M976" i="1"/>
  <c r="O976" i="1"/>
  <c r="P976" i="1"/>
  <c r="J977" i="1"/>
  <c r="M977" i="1"/>
  <c r="O977" i="1"/>
  <c r="P977" i="1"/>
  <c r="J978" i="1"/>
  <c r="K978" i="1"/>
  <c r="M978" i="1"/>
  <c r="P978" i="1"/>
  <c r="J979" i="1"/>
  <c r="K979" i="1"/>
  <c r="M979" i="1"/>
  <c r="N979" i="1"/>
  <c r="O979" i="1"/>
  <c r="P979" i="1"/>
  <c r="J980" i="1"/>
  <c r="M980" i="1"/>
  <c r="N980" i="1"/>
  <c r="O980" i="1"/>
  <c r="J981" i="1"/>
  <c r="K981" i="1"/>
  <c r="M981" i="1"/>
  <c r="N981" i="1"/>
  <c r="O981" i="1"/>
  <c r="P981" i="1"/>
  <c r="J982" i="1"/>
  <c r="K982" i="1"/>
  <c r="M982" i="1"/>
  <c r="O982" i="1"/>
  <c r="P982" i="1"/>
  <c r="J983" i="1"/>
  <c r="M983" i="1"/>
  <c r="O983" i="1"/>
  <c r="P983" i="1"/>
  <c r="J984" i="1"/>
  <c r="K984" i="1"/>
  <c r="M984" i="1"/>
  <c r="N984" i="1"/>
  <c r="P984" i="1"/>
  <c r="M985" i="1"/>
  <c r="N985" i="1"/>
  <c r="O985" i="1"/>
  <c r="P985" i="1"/>
  <c r="J986" i="1"/>
  <c r="M986" i="1"/>
  <c r="O986" i="1"/>
  <c r="P986" i="1"/>
  <c r="J987" i="1"/>
  <c r="K987" i="1"/>
  <c r="M987" i="1"/>
  <c r="O987" i="1"/>
  <c r="P987" i="1"/>
  <c r="J988" i="1"/>
  <c r="M988" i="1"/>
  <c r="O988" i="1"/>
  <c r="P988" i="1"/>
  <c r="J989" i="1"/>
  <c r="M989" i="1"/>
  <c r="O989" i="1"/>
  <c r="P989" i="1"/>
  <c r="J990" i="1"/>
  <c r="K990" i="1"/>
  <c r="M990" i="1"/>
  <c r="P990" i="1"/>
  <c r="J991" i="1"/>
  <c r="M991" i="1"/>
  <c r="N991" i="1"/>
  <c r="O991" i="1"/>
  <c r="P991" i="1"/>
  <c r="J992" i="1"/>
  <c r="K992" i="1"/>
  <c r="M992" i="1"/>
  <c r="N992" i="1"/>
  <c r="O992" i="1"/>
  <c r="P992" i="1"/>
  <c r="J993" i="1"/>
  <c r="K993" i="1"/>
  <c r="M993" i="1"/>
  <c r="N993" i="1"/>
  <c r="O993" i="1"/>
  <c r="P993" i="1"/>
  <c r="J994" i="1"/>
  <c r="K994" i="1"/>
  <c r="M994" i="1"/>
  <c r="N994" i="1"/>
  <c r="O994" i="1"/>
  <c r="P994" i="1"/>
  <c r="J995" i="1"/>
  <c r="M995" i="1"/>
  <c r="N995" i="1"/>
  <c r="O995" i="1"/>
  <c r="P995" i="1"/>
  <c r="J996" i="1"/>
  <c r="K996" i="1"/>
  <c r="M996" i="1"/>
  <c r="P996" i="1"/>
  <c r="J997" i="1"/>
  <c r="K997" i="1"/>
  <c r="M997" i="1"/>
  <c r="N997" i="1"/>
  <c r="O997" i="1"/>
  <c r="P997" i="1"/>
  <c r="J998" i="1"/>
  <c r="M998" i="1"/>
  <c r="O998" i="1"/>
  <c r="J999" i="1"/>
  <c r="K999" i="1"/>
  <c r="M999" i="1"/>
  <c r="O999" i="1"/>
  <c r="P999" i="1"/>
  <c r="J1000" i="1"/>
  <c r="K1000" i="1"/>
  <c r="M1000" i="1"/>
  <c r="O1000" i="1"/>
  <c r="P1000" i="1"/>
  <c r="J1001" i="1"/>
  <c r="M1001" i="1"/>
  <c r="O1001" i="1"/>
  <c r="P1001" i="1"/>
  <c r="J1002" i="1"/>
  <c r="K1002" i="1"/>
  <c r="M1002" i="1"/>
  <c r="P1002" i="1"/>
  <c r="M1003" i="1"/>
  <c r="N1003" i="1"/>
  <c r="O1003" i="1"/>
  <c r="P1003" i="1"/>
  <c r="J1004" i="1"/>
  <c r="M1004" i="1"/>
  <c r="N1004" i="1"/>
  <c r="O1004" i="1"/>
  <c r="P1004" i="1"/>
  <c r="J1005" i="1"/>
  <c r="K1005" i="1"/>
  <c r="M1005" i="1"/>
  <c r="N1005" i="1"/>
  <c r="O1005" i="1"/>
  <c r="P1005" i="1"/>
  <c r="J1006" i="1"/>
  <c r="M1006" i="1"/>
  <c r="O1006" i="1"/>
  <c r="P1006" i="1"/>
  <c r="J1007" i="1"/>
  <c r="M1007" i="1"/>
  <c r="N1007" i="1"/>
  <c r="O1007" i="1"/>
  <c r="P1007" i="1"/>
  <c r="J1008" i="1"/>
  <c r="K1008" i="1"/>
  <c r="M1008" i="1"/>
  <c r="N1008" i="1"/>
  <c r="P1008" i="1"/>
  <c r="J1009" i="1"/>
  <c r="M1009" i="1"/>
  <c r="O1009" i="1"/>
  <c r="P1009" i="1"/>
  <c r="J1010" i="1"/>
  <c r="M1010" i="1"/>
  <c r="O1010" i="1"/>
  <c r="P1010" i="1"/>
  <c r="J1011" i="1"/>
  <c r="K1011" i="1"/>
  <c r="M1011" i="1"/>
  <c r="O1011" i="1"/>
  <c r="P1011" i="1"/>
  <c r="J1012" i="1"/>
  <c r="M1012" i="1"/>
  <c r="O1012" i="1"/>
  <c r="P1012" i="1"/>
  <c r="J1013" i="1"/>
  <c r="M1013" i="1"/>
  <c r="O1013" i="1"/>
  <c r="P1013" i="1"/>
  <c r="J1014" i="1"/>
  <c r="K1014" i="1"/>
  <c r="M1014" i="1"/>
  <c r="P1014" i="1"/>
  <c r="J1015" i="1"/>
  <c r="M1015" i="1"/>
  <c r="N1015" i="1"/>
  <c r="O1015" i="1"/>
  <c r="P1015" i="1"/>
  <c r="J1016" i="1"/>
  <c r="M1016" i="1"/>
  <c r="N1016" i="1"/>
  <c r="O1016" i="1"/>
  <c r="P1016" i="1"/>
  <c r="J1017" i="1"/>
  <c r="K1017" i="1"/>
  <c r="M1017" i="1"/>
  <c r="N1017" i="1"/>
  <c r="O1017" i="1"/>
  <c r="P1017" i="1"/>
  <c r="J1018" i="1"/>
  <c r="M1018" i="1"/>
  <c r="O1018" i="1"/>
  <c r="P1018" i="1"/>
  <c r="J1019" i="1"/>
  <c r="M1019" i="1"/>
  <c r="O1019" i="1"/>
  <c r="J1020" i="1"/>
  <c r="K1020" i="1"/>
  <c r="M1020" i="1"/>
  <c r="N1020" i="1"/>
  <c r="P1020" i="1"/>
  <c r="J1021" i="1"/>
  <c r="M1021" i="1"/>
  <c r="O1021" i="1"/>
  <c r="P1021" i="1"/>
  <c r="J1022" i="1"/>
  <c r="M1022" i="1"/>
  <c r="O1022" i="1"/>
  <c r="P1022" i="1"/>
  <c r="J1023" i="1"/>
  <c r="K1023" i="1"/>
  <c r="M1023" i="1"/>
  <c r="N1023" i="1"/>
  <c r="O1023" i="1"/>
  <c r="P1023" i="1"/>
  <c r="M1024" i="1"/>
  <c r="O1024" i="1"/>
  <c r="P1024" i="1"/>
  <c r="J1025" i="1"/>
  <c r="M1025" i="1"/>
  <c r="O1025" i="1"/>
  <c r="P1025" i="1"/>
  <c r="J1026" i="1"/>
  <c r="K1026" i="1"/>
  <c r="M1026" i="1"/>
  <c r="P1026" i="1"/>
  <c r="J1027" i="1"/>
  <c r="M1027" i="1"/>
  <c r="N1027" i="1"/>
  <c r="O1027" i="1"/>
  <c r="P1027" i="1"/>
  <c r="J1028" i="1"/>
  <c r="M1028" i="1"/>
  <c r="O1028" i="1"/>
  <c r="P1028" i="1"/>
  <c r="J1029" i="1"/>
  <c r="K1029" i="1"/>
  <c r="M1029" i="1"/>
  <c r="N1029" i="1"/>
  <c r="O1029" i="1"/>
  <c r="P1029" i="1"/>
  <c r="J1030" i="1"/>
  <c r="M1030" i="1"/>
  <c r="O1030" i="1"/>
  <c r="P1030" i="1"/>
  <c r="J1031" i="1"/>
  <c r="K1031" i="1"/>
  <c r="M1031" i="1"/>
  <c r="N1031" i="1"/>
  <c r="O1031" i="1"/>
  <c r="P1031" i="1"/>
  <c r="J1032" i="1"/>
  <c r="K1032" i="1"/>
  <c r="M1032" i="1"/>
  <c r="P1032" i="1"/>
  <c r="J1033" i="1"/>
  <c r="M1033" i="1"/>
  <c r="N1033" i="1"/>
  <c r="O1033" i="1"/>
  <c r="P1033" i="1"/>
  <c r="J1034" i="1"/>
  <c r="M1034" i="1"/>
  <c r="O1034" i="1"/>
  <c r="P1034" i="1"/>
  <c r="J1035" i="1"/>
  <c r="K1035" i="1"/>
  <c r="M1035" i="1"/>
  <c r="O1035" i="1"/>
  <c r="P1035" i="1"/>
  <c r="J1036" i="1"/>
  <c r="M1036" i="1"/>
  <c r="O1036" i="1"/>
  <c r="P1036" i="1"/>
  <c r="J1037" i="1"/>
  <c r="M1037" i="1"/>
  <c r="O1037" i="1"/>
  <c r="J1038" i="1"/>
  <c r="K1038" i="1"/>
  <c r="M1038" i="1"/>
  <c r="P1038" i="1"/>
  <c r="J1039" i="1"/>
  <c r="M1039" i="1"/>
  <c r="O1039" i="1"/>
  <c r="P1039" i="1"/>
  <c r="J1040" i="1"/>
  <c r="K1040" i="1"/>
  <c r="M1040" i="1"/>
  <c r="O1040" i="1"/>
  <c r="P1040" i="1"/>
  <c r="J1041" i="1"/>
  <c r="K1041" i="1"/>
  <c r="M1041" i="1"/>
  <c r="N1041" i="1"/>
  <c r="O1041" i="1"/>
  <c r="P1041" i="1"/>
  <c r="M1042" i="1"/>
  <c r="O1042" i="1"/>
  <c r="P1042" i="1"/>
  <c r="J1043" i="1"/>
  <c r="K1043" i="1"/>
  <c r="M1043" i="1"/>
  <c r="N1043" i="1"/>
  <c r="O1043" i="1"/>
  <c r="P1043" i="1"/>
  <c r="J1044" i="1"/>
  <c r="K1044" i="1"/>
  <c r="M1044" i="1"/>
  <c r="P1044" i="1"/>
  <c r="J1045" i="1"/>
  <c r="M1045" i="1"/>
  <c r="O1045" i="1"/>
  <c r="P1045" i="1"/>
  <c r="J1046" i="1"/>
  <c r="M1046" i="1"/>
  <c r="O1046" i="1"/>
  <c r="P1046" i="1"/>
  <c r="J1047" i="1"/>
  <c r="K1047" i="1"/>
  <c r="M1047" i="1"/>
  <c r="O1047" i="1"/>
  <c r="P1047" i="1"/>
  <c r="J1048" i="1"/>
  <c r="M1048" i="1"/>
  <c r="O1048" i="1"/>
  <c r="P1048" i="1"/>
  <c r="J1049" i="1"/>
  <c r="M1049" i="1"/>
  <c r="O1049" i="1"/>
  <c r="P1049" i="1"/>
  <c r="J1050" i="1"/>
  <c r="K1050" i="1"/>
  <c r="M1050" i="1"/>
  <c r="P1050" i="1"/>
  <c r="J1051" i="1"/>
  <c r="M1051" i="1"/>
  <c r="N1051" i="1"/>
  <c r="O1051" i="1"/>
  <c r="P1051" i="1"/>
  <c r="J1052" i="1"/>
  <c r="M1052" i="1"/>
  <c r="O1052" i="1"/>
  <c r="J1053" i="1"/>
  <c r="K1053" i="1"/>
  <c r="M1053" i="1"/>
  <c r="O1053" i="1"/>
  <c r="P1053" i="1"/>
  <c r="J1054" i="1"/>
  <c r="M1054" i="1"/>
  <c r="O1054" i="1"/>
  <c r="P1054" i="1"/>
  <c r="J1055" i="1"/>
  <c r="M1055" i="1"/>
  <c r="N1055" i="1"/>
  <c r="O1055" i="1"/>
  <c r="P1055" i="1"/>
  <c r="J1056" i="1"/>
  <c r="K1056" i="1"/>
  <c r="M1056" i="1"/>
  <c r="P1056" i="1"/>
  <c r="M1057" i="1"/>
  <c r="O1057" i="1"/>
  <c r="P1057" i="1"/>
  <c r="J1058" i="1"/>
  <c r="M1058" i="1"/>
  <c r="O1058" i="1"/>
  <c r="P1058" i="1"/>
  <c r="J1059" i="1"/>
  <c r="K1059" i="1"/>
  <c r="M1059" i="1"/>
  <c r="O1059" i="1"/>
  <c r="P1059" i="1"/>
  <c r="J1060" i="1"/>
  <c r="M1060" i="1"/>
  <c r="O1060" i="1"/>
  <c r="P1060" i="1"/>
  <c r="J1061" i="1"/>
  <c r="M1061" i="1"/>
  <c r="O1061" i="1"/>
  <c r="P1061" i="1"/>
  <c r="J1062" i="1"/>
  <c r="K1062" i="1"/>
  <c r="M1062" i="1"/>
  <c r="P1062" i="1"/>
  <c r="J1063" i="1"/>
  <c r="M1063" i="1"/>
  <c r="O1063" i="1"/>
  <c r="P1063" i="1"/>
  <c r="J1064" i="1"/>
  <c r="K1064" i="1"/>
  <c r="M1064" i="1"/>
  <c r="O1064" i="1"/>
  <c r="P1064" i="1"/>
  <c r="J1065" i="1"/>
  <c r="K1065" i="1"/>
  <c r="M1065" i="1"/>
  <c r="N1065" i="1"/>
  <c r="O1065" i="1"/>
  <c r="P1065" i="1"/>
  <c r="J1066" i="1"/>
  <c r="M1066" i="1"/>
  <c r="O1066" i="1"/>
  <c r="P1066" i="1"/>
  <c r="J1067" i="1"/>
  <c r="M1067" i="1"/>
  <c r="O1067" i="1"/>
  <c r="P1067" i="1"/>
  <c r="J1068" i="1"/>
  <c r="K1068" i="1"/>
  <c r="M1068" i="1"/>
  <c r="N1068" i="1"/>
  <c r="P1068" i="1"/>
  <c r="J1069" i="1"/>
  <c r="K1069" i="1"/>
  <c r="M1069" i="1"/>
  <c r="O1069" i="1"/>
  <c r="P1069" i="1"/>
  <c r="J1070" i="1"/>
  <c r="M1070" i="1"/>
  <c r="O1070" i="1"/>
  <c r="J1071" i="1"/>
  <c r="K1071" i="1"/>
  <c r="M1071" i="1"/>
  <c r="O1071" i="1"/>
  <c r="P1071" i="1"/>
  <c r="J1072" i="1"/>
  <c r="M1072" i="1"/>
  <c r="O1072" i="1"/>
  <c r="P1072" i="1"/>
  <c r="J1073" i="1"/>
  <c r="M1073" i="1"/>
  <c r="O1073" i="1"/>
  <c r="P1073" i="1"/>
  <c r="J1074" i="1"/>
  <c r="K1074" i="1"/>
  <c r="M1074" i="1"/>
  <c r="P1074" i="1"/>
  <c r="K1075" i="1"/>
  <c r="M1075" i="1"/>
  <c r="N1075" i="1"/>
  <c r="O1075" i="1"/>
  <c r="P1075" i="1"/>
  <c r="J1076" i="1"/>
  <c r="M1076" i="1"/>
  <c r="N1076" i="1"/>
  <c r="O1076" i="1"/>
  <c r="P1076" i="1"/>
  <c r="J1077" i="1"/>
  <c r="K1077" i="1"/>
  <c r="M1077" i="1"/>
  <c r="N1077" i="1"/>
  <c r="O1077" i="1"/>
  <c r="P1077" i="1"/>
  <c r="J1078" i="1"/>
  <c r="M1078" i="1"/>
  <c r="O1078" i="1"/>
  <c r="P1078" i="1"/>
  <c r="J1079" i="1"/>
  <c r="K1079" i="1"/>
  <c r="M1079" i="1"/>
  <c r="O1079" i="1"/>
  <c r="P1079" i="1"/>
  <c r="J1080" i="1"/>
  <c r="K1080" i="1"/>
  <c r="M1080" i="1"/>
  <c r="N1080" i="1"/>
  <c r="P1080" i="1"/>
  <c r="J1081" i="1"/>
  <c r="M1081" i="1"/>
  <c r="O1081" i="1"/>
  <c r="P1081" i="1"/>
  <c r="J1082" i="1"/>
  <c r="K1082" i="1"/>
  <c r="M1082" i="1"/>
  <c r="O1082" i="1"/>
  <c r="P1082" i="1"/>
  <c r="J1083" i="1"/>
  <c r="K1083" i="1"/>
  <c r="M1083" i="1"/>
  <c r="O1083" i="1"/>
  <c r="P1083" i="1"/>
  <c r="J1084" i="1"/>
  <c r="K1084" i="1"/>
  <c r="M1084" i="1"/>
  <c r="O1084" i="1"/>
  <c r="P1084" i="1"/>
  <c r="J1085" i="1"/>
  <c r="M1085" i="1"/>
  <c r="O1085" i="1"/>
  <c r="P1085" i="1"/>
  <c r="J1086" i="1"/>
  <c r="K1086" i="1"/>
  <c r="M1086" i="1"/>
  <c r="P1086" i="1"/>
  <c r="J1087" i="1"/>
  <c r="M1087" i="1"/>
  <c r="N1087" i="1"/>
  <c r="O1087" i="1"/>
  <c r="P1087" i="1"/>
  <c r="J1088" i="1"/>
  <c r="M1088" i="1"/>
  <c r="O1088" i="1"/>
  <c r="P1088" i="1"/>
  <c r="J1089" i="1"/>
  <c r="K1089" i="1"/>
  <c r="M1089" i="1"/>
  <c r="N1089" i="1"/>
  <c r="O1089" i="1"/>
  <c r="P1089" i="1"/>
  <c r="J1090" i="1"/>
  <c r="M1090" i="1"/>
  <c r="O1090" i="1"/>
  <c r="P1090" i="1"/>
  <c r="J1091" i="1"/>
  <c r="M1091" i="1"/>
  <c r="O1091" i="1"/>
  <c r="J1092" i="1"/>
  <c r="K1092" i="1"/>
  <c r="M1092" i="1"/>
  <c r="P1092" i="1"/>
  <c r="J1093" i="1"/>
  <c r="K1093" i="1"/>
  <c r="M1093" i="1"/>
  <c r="O1093" i="1"/>
  <c r="P1093" i="1"/>
  <c r="J1094" i="1"/>
  <c r="M1094" i="1"/>
  <c r="O1094" i="1"/>
  <c r="P1094" i="1"/>
  <c r="J1095" i="1"/>
  <c r="K1095" i="1"/>
  <c r="M1095" i="1"/>
  <c r="O1095" i="1"/>
  <c r="P1095" i="1"/>
  <c r="K1096" i="1"/>
  <c r="M1096" i="1"/>
  <c r="O1096" i="1"/>
  <c r="P1096" i="1"/>
  <c r="J1097" i="1"/>
  <c r="M1097" i="1"/>
  <c r="O1097" i="1"/>
  <c r="P1097" i="1"/>
  <c r="J1098" i="1"/>
  <c r="K1098" i="1"/>
  <c r="M1098" i="1"/>
  <c r="P1098" i="1"/>
  <c r="J1099" i="1"/>
  <c r="M1099" i="1"/>
  <c r="O1099" i="1"/>
  <c r="P1099" i="1"/>
  <c r="J1100" i="1"/>
  <c r="M1100" i="1"/>
  <c r="O1100" i="1"/>
  <c r="P1100" i="1"/>
  <c r="J1101" i="1"/>
  <c r="K1101" i="1"/>
  <c r="M1101" i="1"/>
  <c r="O1101" i="1"/>
  <c r="P1101" i="1"/>
  <c r="J1102" i="1"/>
  <c r="M1102" i="1"/>
  <c r="N1102" i="1"/>
  <c r="O1102" i="1"/>
  <c r="P1102" i="1"/>
  <c r="J1103" i="1"/>
  <c r="K1103" i="1"/>
  <c r="M1103" i="1"/>
  <c r="N1103" i="1"/>
  <c r="O1103" i="1"/>
  <c r="P1103" i="1"/>
  <c r="J1104" i="1"/>
  <c r="K1104" i="1"/>
  <c r="M1104" i="1"/>
  <c r="P1104" i="1"/>
  <c r="J1105" i="1"/>
  <c r="M1105" i="1"/>
  <c r="O1105" i="1"/>
  <c r="P1105" i="1"/>
  <c r="J1106" i="1"/>
  <c r="M1106" i="1"/>
  <c r="O1106" i="1"/>
  <c r="P1106" i="1"/>
  <c r="J1107" i="1"/>
  <c r="K1107" i="1"/>
  <c r="M1107" i="1"/>
  <c r="N1107" i="1"/>
  <c r="O1107" i="1"/>
  <c r="P1107" i="1"/>
  <c r="J1108" i="1"/>
  <c r="M1108" i="1"/>
  <c r="O1108" i="1"/>
  <c r="P1108" i="1"/>
  <c r="J1109" i="1"/>
  <c r="M1109" i="1"/>
  <c r="O1109" i="1"/>
  <c r="J1110" i="1"/>
  <c r="K1110" i="1"/>
  <c r="M1110" i="1"/>
  <c r="P1110" i="1"/>
  <c r="J1111" i="1"/>
  <c r="K1111" i="1"/>
  <c r="M1111" i="1"/>
  <c r="N1111" i="1"/>
  <c r="O1111" i="1"/>
  <c r="P1111" i="1"/>
  <c r="J1112" i="1"/>
  <c r="K1112" i="1"/>
  <c r="M1112" i="1"/>
  <c r="O1112" i="1"/>
  <c r="P1112" i="1"/>
  <c r="J1113" i="1"/>
  <c r="K1113" i="1"/>
  <c r="M1113" i="1"/>
  <c r="O1113" i="1"/>
  <c r="P1113" i="1"/>
  <c r="M1114" i="1"/>
  <c r="O1114" i="1"/>
  <c r="P1114" i="1"/>
  <c r="J1115" i="1"/>
  <c r="M1115" i="1"/>
  <c r="N1115" i="1"/>
  <c r="O1115" i="1"/>
  <c r="P1115" i="1"/>
  <c r="J1116" i="1"/>
  <c r="K1116" i="1"/>
  <c r="M1116" i="1"/>
  <c r="P1116" i="1"/>
  <c r="J1117" i="1"/>
  <c r="M1117" i="1"/>
  <c r="O1117" i="1"/>
  <c r="P1117" i="1"/>
  <c r="J1118" i="1"/>
  <c r="M1118" i="1"/>
  <c r="O1118" i="1"/>
  <c r="P1118" i="1"/>
  <c r="J1119" i="1"/>
  <c r="K1119" i="1"/>
  <c r="M1119" i="1"/>
  <c r="O1119" i="1"/>
  <c r="P1119" i="1"/>
  <c r="J1120" i="1"/>
  <c r="M1120" i="1"/>
  <c r="O1120" i="1"/>
  <c r="P1120" i="1"/>
  <c r="J1121" i="1"/>
  <c r="K1121" i="1"/>
  <c r="M1121" i="1"/>
  <c r="O1121" i="1"/>
  <c r="P1121" i="1"/>
  <c r="J1122" i="1"/>
  <c r="K1122" i="1"/>
  <c r="M1122" i="1"/>
  <c r="P1122" i="1"/>
  <c r="J1123" i="1"/>
  <c r="M1123" i="1"/>
  <c r="O1123" i="1"/>
  <c r="P1123" i="1"/>
  <c r="J1124" i="1"/>
  <c r="K1124" i="1"/>
  <c r="M1124" i="1"/>
  <c r="N1124" i="1"/>
  <c r="O1124" i="1"/>
  <c r="J1125" i="1"/>
  <c r="K1125" i="1"/>
  <c r="M1125" i="1"/>
  <c r="O1125" i="1"/>
  <c r="P1125" i="1"/>
  <c r="J1126" i="1"/>
  <c r="M1126" i="1"/>
  <c r="O1126" i="1"/>
  <c r="P1126" i="1"/>
  <c r="J1127" i="1"/>
  <c r="M1127" i="1"/>
  <c r="N1127" i="1"/>
  <c r="O1127" i="1"/>
  <c r="P1127" i="1"/>
  <c r="J1128" i="1"/>
  <c r="K1128" i="1"/>
  <c r="M1128" i="1"/>
  <c r="P1128" i="1"/>
  <c r="K1129" i="1"/>
  <c r="M1129" i="1"/>
  <c r="O1129" i="1"/>
  <c r="P1129" i="1"/>
  <c r="J1130" i="1"/>
  <c r="M1130" i="1"/>
  <c r="O1130" i="1"/>
  <c r="P1130" i="1"/>
  <c r="J1131" i="1"/>
  <c r="K1131" i="1"/>
  <c r="M1131" i="1"/>
  <c r="O1131" i="1"/>
  <c r="P1131" i="1"/>
  <c r="J1132" i="1"/>
  <c r="M1132" i="1"/>
  <c r="O1132" i="1"/>
  <c r="P1132" i="1"/>
  <c r="J1133" i="1"/>
  <c r="K1133" i="1"/>
  <c r="M1133" i="1"/>
  <c r="O1133" i="1"/>
  <c r="P1133" i="1"/>
  <c r="J1134" i="1"/>
  <c r="K1134" i="1"/>
  <c r="M1134" i="1"/>
  <c r="P1134" i="1"/>
  <c r="J1135" i="1"/>
  <c r="M1135" i="1"/>
  <c r="N1135" i="1"/>
  <c r="O1135" i="1"/>
  <c r="P1135" i="1"/>
  <c r="J1136" i="1"/>
  <c r="K1136" i="1"/>
  <c r="M1136" i="1"/>
  <c r="O1136" i="1"/>
  <c r="P1136" i="1"/>
  <c r="J1137" i="1"/>
  <c r="K1137" i="1"/>
  <c r="M1137" i="1"/>
  <c r="O1137" i="1"/>
  <c r="P1137" i="1"/>
  <c r="J1138" i="1"/>
  <c r="K1138" i="1"/>
  <c r="M1138" i="1"/>
  <c r="O1138" i="1"/>
  <c r="P1138" i="1"/>
  <c r="J1139" i="1"/>
  <c r="M1139" i="1"/>
  <c r="O1139" i="1"/>
  <c r="P1139" i="1"/>
  <c r="J1140" i="1"/>
  <c r="K1140" i="1"/>
  <c r="M1140" i="1"/>
  <c r="P1140" i="1"/>
  <c r="J1141" i="1"/>
  <c r="M1141" i="1"/>
  <c r="O1141" i="1"/>
  <c r="P1141" i="1"/>
  <c r="J1142" i="1"/>
  <c r="M1142" i="1"/>
  <c r="O1142" i="1"/>
  <c r="J1143" i="1"/>
  <c r="K1143" i="1"/>
  <c r="M1143" i="1"/>
  <c r="N1143" i="1"/>
  <c r="O1143" i="1"/>
  <c r="P1143" i="1"/>
  <c r="J1144" i="1"/>
  <c r="M1144" i="1"/>
  <c r="O1144" i="1"/>
  <c r="P1144" i="1"/>
  <c r="J1145" i="1"/>
  <c r="M1145" i="1"/>
  <c r="O1145" i="1"/>
  <c r="P1145" i="1"/>
  <c r="J1146" i="1"/>
  <c r="K1146" i="1"/>
  <c r="M1146" i="1"/>
  <c r="P1146" i="1"/>
  <c r="M1147" i="1"/>
  <c r="O1147" i="1"/>
  <c r="P1147" i="1"/>
  <c r="J1148" i="1"/>
  <c r="K1148" i="1"/>
  <c r="M1148" i="1"/>
  <c r="O1148" i="1"/>
  <c r="P1148" i="1"/>
  <c r="J1149" i="1"/>
  <c r="K1149" i="1"/>
  <c r="M1149" i="1"/>
  <c r="O1149" i="1"/>
  <c r="P1149" i="1"/>
  <c r="J1150" i="1"/>
  <c r="K1150" i="1"/>
  <c r="M1150" i="1"/>
  <c r="O1150" i="1"/>
  <c r="P1150" i="1"/>
  <c r="J1151" i="1"/>
  <c r="M1151" i="1"/>
  <c r="O1151" i="1"/>
  <c r="P1151" i="1"/>
  <c r="J1152" i="1"/>
  <c r="K1152" i="1"/>
  <c r="M1152" i="1"/>
  <c r="P1152" i="1"/>
  <c r="J1153" i="1"/>
  <c r="M1153" i="1"/>
  <c r="O1153" i="1"/>
  <c r="P1153" i="1"/>
  <c r="J1154" i="1"/>
  <c r="M1154" i="1"/>
  <c r="O1154" i="1"/>
  <c r="P1154" i="1"/>
  <c r="J1155" i="1"/>
  <c r="K1155" i="1"/>
  <c r="M1155" i="1"/>
  <c r="O1155" i="1"/>
  <c r="P1155" i="1"/>
  <c r="J1156" i="1"/>
  <c r="M1156" i="1"/>
  <c r="O1156" i="1"/>
  <c r="P1156" i="1"/>
  <c r="J1157" i="1"/>
  <c r="M1157" i="1"/>
  <c r="O1157" i="1"/>
  <c r="P1157" i="1"/>
  <c r="J1158" i="1"/>
  <c r="K1158" i="1"/>
  <c r="M1158" i="1"/>
  <c r="P1158" i="1"/>
  <c r="J1159" i="1"/>
  <c r="M1159" i="1"/>
  <c r="O1159" i="1"/>
  <c r="P1159" i="1"/>
  <c r="J1160" i="1"/>
  <c r="M1160" i="1"/>
  <c r="O1160" i="1"/>
  <c r="P1160" i="1"/>
  <c r="J1161" i="1"/>
  <c r="K1161" i="1"/>
  <c r="M1161" i="1"/>
  <c r="O1161" i="1"/>
  <c r="P1161" i="1"/>
  <c r="J1162" i="1"/>
  <c r="M1162" i="1"/>
  <c r="O1162" i="1"/>
  <c r="P1162" i="1"/>
  <c r="J1163" i="1"/>
  <c r="M1163" i="1"/>
  <c r="O1163" i="1"/>
  <c r="J1164" i="1"/>
  <c r="K1164" i="1"/>
  <c r="M1164" i="1"/>
  <c r="P1164" i="1"/>
  <c r="J1165" i="1"/>
  <c r="M1165" i="1"/>
  <c r="O1165" i="1"/>
  <c r="P1165" i="1"/>
  <c r="J1166" i="1"/>
  <c r="M1166" i="1"/>
  <c r="O1166" i="1"/>
  <c r="P1166" i="1"/>
  <c r="J1167" i="1"/>
  <c r="K1167" i="1"/>
  <c r="M1167" i="1"/>
  <c r="O1167" i="1"/>
  <c r="P1167" i="1"/>
  <c r="M1168" i="1"/>
  <c r="O1168" i="1"/>
  <c r="P1168" i="1"/>
  <c r="J1169" i="1"/>
  <c r="K1169" i="1"/>
  <c r="M1169" i="1"/>
  <c r="O1169" i="1"/>
  <c r="P1169" i="1"/>
  <c r="J1170" i="1"/>
  <c r="K1170" i="1"/>
  <c r="M1170" i="1"/>
  <c r="P1170" i="1"/>
  <c r="J1171" i="1"/>
  <c r="M1171" i="1"/>
  <c r="N1171" i="1"/>
  <c r="O1171" i="1"/>
  <c r="P1171" i="1"/>
  <c r="J1172" i="1"/>
  <c r="M1172" i="1"/>
  <c r="O1172" i="1"/>
  <c r="P1172" i="1"/>
  <c r="J1173" i="1"/>
  <c r="K1173" i="1"/>
  <c r="M1173" i="1"/>
  <c r="O1173" i="1"/>
  <c r="P1173" i="1"/>
  <c r="J1174" i="1"/>
  <c r="M1174" i="1"/>
  <c r="O1174" i="1"/>
  <c r="P1174" i="1"/>
  <c r="J1175" i="1"/>
  <c r="M1175" i="1"/>
  <c r="O1175" i="1"/>
  <c r="P1175" i="1"/>
  <c r="J1176" i="1"/>
  <c r="K1176" i="1"/>
  <c r="M1176" i="1"/>
  <c r="P1176" i="1"/>
  <c r="J1177" i="1"/>
  <c r="M1177" i="1"/>
  <c r="O1177" i="1"/>
  <c r="P1177" i="1"/>
  <c r="J1178" i="1"/>
  <c r="M1178" i="1"/>
  <c r="O1178" i="1"/>
  <c r="P1178" i="1"/>
  <c r="J1179" i="1"/>
  <c r="K1179" i="1"/>
  <c r="M1179" i="1"/>
  <c r="O1179" i="1"/>
  <c r="P1179" i="1"/>
  <c r="J1180" i="1"/>
  <c r="M1180" i="1"/>
  <c r="O1180" i="1"/>
  <c r="P1180" i="1"/>
  <c r="J1181" i="1"/>
  <c r="K1181" i="1"/>
  <c r="M1181" i="1"/>
  <c r="O1181" i="1"/>
  <c r="J1182" i="1"/>
  <c r="K1182" i="1"/>
  <c r="M1182" i="1"/>
  <c r="P1182" i="1"/>
  <c r="J1183" i="1"/>
  <c r="K1183" i="1"/>
  <c r="M1183" i="1"/>
  <c r="O1183" i="1"/>
  <c r="P1183" i="1"/>
  <c r="J1184" i="1"/>
  <c r="K1184" i="1"/>
  <c r="M1184" i="1"/>
  <c r="O1184" i="1"/>
  <c r="P1184" i="1"/>
  <c r="J1185" i="1"/>
  <c r="K1185" i="1"/>
  <c r="M1185" i="1"/>
  <c r="O1185" i="1"/>
  <c r="P1185" i="1"/>
  <c r="M1186" i="1"/>
  <c r="O1186" i="1"/>
  <c r="P1186" i="1"/>
  <c r="J1187" i="1"/>
  <c r="M1187" i="1"/>
  <c r="O1187" i="1"/>
  <c r="P1187" i="1"/>
  <c r="J1188" i="1"/>
  <c r="K1188" i="1"/>
  <c r="M1188" i="1"/>
  <c r="P1188" i="1"/>
  <c r="J1189" i="1"/>
  <c r="K1189" i="1"/>
  <c r="M1189" i="1"/>
  <c r="O1189" i="1"/>
  <c r="P1189" i="1"/>
  <c r="J1190" i="1"/>
  <c r="M1190" i="1"/>
  <c r="O1190" i="1"/>
  <c r="P1190" i="1"/>
  <c r="J1191" i="1"/>
  <c r="K1191" i="1"/>
  <c r="M1191" i="1"/>
  <c r="O1191" i="1"/>
  <c r="P1191" i="1"/>
  <c r="J1192" i="1"/>
  <c r="M1192" i="1"/>
  <c r="O1192" i="1"/>
  <c r="P1192" i="1"/>
  <c r="J1193" i="1"/>
  <c r="M1193" i="1"/>
  <c r="O1193" i="1"/>
  <c r="P1193" i="1"/>
  <c r="J1194" i="1"/>
  <c r="K1194" i="1"/>
  <c r="M1194" i="1"/>
  <c r="P1194" i="1"/>
  <c r="J1195" i="1"/>
  <c r="K1195" i="1"/>
  <c r="M1195" i="1"/>
  <c r="O1195" i="1"/>
  <c r="P1195" i="1"/>
  <c r="J1196" i="1"/>
  <c r="M1196" i="1"/>
  <c r="O1196" i="1"/>
  <c r="J1197" i="1"/>
  <c r="K1197" i="1"/>
  <c r="M1197" i="1"/>
  <c r="O1197" i="1"/>
  <c r="P1197" i="1"/>
  <c r="J1198" i="1"/>
  <c r="M1198" i="1"/>
  <c r="O1198" i="1"/>
  <c r="P1198" i="1"/>
  <c r="J1199" i="1"/>
  <c r="M1199" i="1"/>
  <c r="O1199" i="1"/>
  <c r="P1199" i="1"/>
  <c r="J1200" i="1"/>
  <c r="K1200" i="1"/>
  <c r="M1200" i="1"/>
  <c r="P1200" i="1"/>
  <c r="K1201" i="1"/>
  <c r="M1201" i="1"/>
  <c r="O1201" i="1"/>
  <c r="P1201" i="1"/>
  <c r="J1202" i="1"/>
  <c r="M1202" i="1"/>
  <c r="O1202" i="1"/>
  <c r="P1202" i="1"/>
  <c r="J1203" i="1"/>
  <c r="K1203" i="1"/>
  <c r="M1203" i="1"/>
  <c r="O1203" i="1"/>
  <c r="P1203" i="1"/>
  <c r="J1204" i="1"/>
  <c r="M1204" i="1"/>
  <c r="O1204" i="1"/>
  <c r="P1204" i="1"/>
  <c r="J1205" i="1"/>
  <c r="K1205" i="1"/>
  <c r="M1205" i="1"/>
  <c r="O1205" i="1"/>
  <c r="P1205" i="1"/>
  <c r="J1206" i="1"/>
  <c r="K1206" i="1"/>
  <c r="M1206" i="1"/>
  <c r="P1206" i="1"/>
  <c r="J1207" i="1"/>
  <c r="M1207" i="1"/>
  <c r="O1207" i="1"/>
  <c r="P1207" i="1"/>
  <c r="J1208" i="1"/>
  <c r="K1208" i="1"/>
  <c r="M1208" i="1"/>
  <c r="O1208" i="1"/>
  <c r="P1208" i="1"/>
  <c r="J1209" i="1"/>
  <c r="K1209" i="1"/>
  <c r="M1209" i="1"/>
  <c r="O1209" i="1"/>
  <c r="P1209" i="1"/>
  <c r="J1210" i="1"/>
  <c r="K1210" i="1"/>
  <c r="M1210" i="1"/>
  <c r="O1210" i="1"/>
  <c r="P1210" i="1"/>
  <c r="J1211" i="1"/>
  <c r="M1211" i="1"/>
  <c r="O1211" i="1"/>
  <c r="P1211" i="1"/>
  <c r="J1212" i="1"/>
  <c r="K1212" i="1"/>
  <c r="M1212" i="1"/>
  <c r="P1212" i="1"/>
  <c r="J1213" i="1"/>
  <c r="M1213" i="1"/>
  <c r="O1213" i="1"/>
  <c r="P1213" i="1"/>
  <c r="J1214" i="1"/>
  <c r="M1214" i="1"/>
  <c r="O1214" i="1"/>
  <c r="J1215" i="1"/>
  <c r="K1215" i="1"/>
  <c r="M1215" i="1"/>
  <c r="O1215" i="1"/>
  <c r="P1215" i="1"/>
  <c r="J1216" i="1"/>
  <c r="M1216" i="1"/>
  <c r="O1216" i="1"/>
  <c r="P1216" i="1"/>
  <c r="J1217" i="1"/>
  <c r="K1217" i="1"/>
  <c r="M1217" i="1"/>
  <c r="O1217" i="1"/>
  <c r="P1217" i="1"/>
  <c r="J1218" i="1"/>
  <c r="K1218" i="1"/>
  <c r="M1218" i="1"/>
  <c r="P1218" i="1"/>
  <c r="M1219" i="1"/>
  <c r="O1219" i="1"/>
  <c r="P1219" i="1"/>
  <c r="J1220" i="1"/>
  <c r="M1220" i="1"/>
  <c r="O1220" i="1"/>
  <c r="P1220" i="1"/>
  <c r="J1221" i="1"/>
  <c r="K1221" i="1"/>
  <c r="M1221" i="1"/>
  <c r="O1221" i="1"/>
  <c r="P1221" i="1"/>
  <c r="J1222" i="1"/>
  <c r="M1222" i="1"/>
  <c r="O1222" i="1"/>
  <c r="P1222" i="1"/>
  <c r="J1223" i="1"/>
  <c r="K1223" i="1"/>
  <c r="M1223" i="1"/>
  <c r="N1223" i="1"/>
  <c r="O1223" i="1"/>
  <c r="P1223" i="1"/>
  <c r="J1224" i="1"/>
  <c r="K1224" i="1"/>
  <c r="M1224" i="1"/>
  <c r="P1224" i="1"/>
  <c r="J1225" i="1"/>
  <c r="M1225" i="1"/>
  <c r="O1225" i="1"/>
  <c r="P1225" i="1"/>
  <c r="J1226" i="1"/>
  <c r="M1226" i="1"/>
  <c r="O1226" i="1"/>
  <c r="P1226" i="1"/>
  <c r="J1227" i="1"/>
  <c r="K1227" i="1"/>
  <c r="M1227" i="1"/>
  <c r="O1227" i="1"/>
  <c r="P1227" i="1"/>
  <c r="J1228" i="1"/>
  <c r="M1228" i="1"/>
  <c r="O1228" i="1"/>
  <c r="P1228" i="1"/>
  <c r="J1229" i="1"/>
  <c r="M1229" i="1"/>
  <c r="O1229" i="1"/>
  <c r="P1229" i="1"/>
  <c r="J1230" i="1"/>
  <c r="K1230" i="1"/>
  <c r="M1230" i="1"/>
  <c r="P1230" i="1"/>
  <c r="J1231" i="1"/>
  <c r="K1231" i="1"/>
  <c r="M1231" i="1"/>
  <c r="O1231" i="1"/>
  <c r="P1231" i="1"/>
  <c r="J1232" i="1"/>
  <c r="K1232" i="1"/>
  <c r="M1232" i="1"/>
  <c r="O1232" i="1"/>
  <c r="P1232" i="1"/>
  <c r="J1233" i="1"/>
  <c r="K1233" i="1"/>
  <c r="M1233" i="1"/>
  <c r="N1233" i="1"/>
  <c r="O1233" i="1"/>
  <c r="P1233" i="1"/>
  <c r="J1234" i="1"/>
  <c r="K1234" i="1"/>
  <c r="M1234" i="1"/>
  <c r="O1234" i="1"/>
  <c r="P1234" i="1"/>
  <c r="J1235" i="1"/>
  <c r="K1235" i="1"/>
  <c r="M1235" i="1"/>
  <c r="O1235" i="1"/>
  <c r="J1236" i="1"/>
  <c r="K1236" i="1"/>
  <c r="M1236" i="1"/>
  <c r="P1236" i="1"/>
  <c r="J1237" i="1"/>
  <c r="M1237" i="1"/>
  <c r="O1237" i="1"/>
  <c r="P1237" i="1"/>
  <c r="J1238" i="1"/>
  <c r="K1238" i="1"/>
  <c r="M1238" i="1"/>
  <c r="O1238" i="1"/>
  <c r="P1238" i="1"/>
  <c r="J1239" i="1"/>
  <c r="K1239" i="1"/>
  <c r="M1239" i="1"/>
  <c r="O1239" i="1"/>
  <c r="P1239" i="1"/>
  <c r="K1240" i="1"/>
  <c r="M1240" i="1"/>
  <c r="O1240" i="1"/>
  <c r="P1240" i="1"/>
  <c r="J1241" i="1"/>
  <c r="M1241" i="1"/>
  <c r="O1241" i="1"/>
  <c r="P1241" i="1"/>
  <c r="J1242" i="1"/>
  <c r="K1242" i="1"/>
  <c r="M1242" i="1"/>
  <c r="P1242" i="1"/>
  <c r="J1243" i="1"/>
  <c r="M1243" i="1"/>
  <c r="O1243" i="1"/>
  <c r="P1243" i="1"/>
  <c r="J1244" i="1"/>
  <c r="M1244" i="1"/>
  <c r="O1244" i="1"/>
  <c r="P1244" i="1"/>
  <c r="J1245" i="1"/>
  <c r="K1245" i="1"/>
  <c r="M1245" i="1"/>
  <c r="O1245" i="1"/>
  <c r="P1245" i="1"/>
  <c r="J1246" i="1"/>
  <c r="M1246" i="1"/>
  <c r="O1246" i="1"/>
  <c r="P1246" i="1"/>
  <c r="J1247" i="1"/>
  <c r="M1247" i="1"/>
  <c r="N1247" i="1"/>
  <c r="O1247" i="1"/>
  <c r="P1247" i="1"/>
  <c r="J1248" i="1"/>
  <c r="K1248" i="1"/>
  <c r="M1248" i="1"/>
  <c r="P1248" i="1"/>
  <c r="J1249" i="1"/>
  <c r="K1249" i="1"/>
  <c r="M1249" i="1"/>
  <c r="O1249" i="1"/>
  <c r="P1249" i="1"/>
  <c r="J1250" i="1"/>
  <c r="M1250" i="1"/>
  <c r="O1250" i="1"/>
  <c r="P1250" i="1"/>
  <c r="J1251" i="1"/>
  <c r="K1251" i="1"/>
  <c r="M1251" i="1"/>
  <c r="O1251" i="1"/>
  <c r="P1251" i="1"/>
  <c r="J1252" i="1"/>
  <c r="M1252" i="1"/>
  <c r="O1252" i="1"/>
  <c r="P1252" i="1"/>
  <c r="J1253" i="1"/>
  <c r="K1253" i="1"/>
  <c r="M1253" i="1"/>
  <c r="O1253" i="1"/>
  <c r="J1254" i="1"/>
  <c r="K1254" i="1"/>
  <c r="M1254" i="1"/>
  <c r="P1254" i="1"/>
  <c r="J1255" i="1"/>
  <c r="M1255" i="1"/>
  <c r="O1255" i="1"/>
  <c r="P1255" i="1"/>
  <c r="J1256" i="1"/>
  <c r="K1256" i="1"/>
  <c r="M1256" i="1"/>
  <c r="O1256" i="1"/>
  <c r="P1256" i="1"/>
  <c r="J1257" i="1"/>
  <c r="K1257" i="1"/>
  <c r="M1257" i="1"/>
  <c r="N1257" i="1"/>
  <c r="O1257" i="1"/>
  <c r="P1257" i="1"/>
  <c r="M1258" i="1"/>
  <c r="O1258" i="1"/>
  <c r="P1258" i="1"/>
  <c r="J1259" i="1"/>
  <c r="M1259" i="1"/>
  <c r="O1259" i="1"/>
  <c r="P1259" i="1"/>
  <c r="J1260" i="1"/>
  <c r="K1260" i="1"/>
  <c r="M1260" i="1"/>
  <c r="P1260" i="1"/>
  <c r="J1261" i="1"/>
  <c r="K1261" i="1"/>
  <c r="M1261" i="1"/>
  <c r="O1261" i="1"/>
  <c r="P1261" i="1"/>
  <c r="J1262" i="1"/>
  <c r="M1262" i="1"/>
  <c r="O1262" i="1"/>
  <c r="P1262" i="1"/>
  <c r="J1263" i="1"/>
  <c r="K1263" i="1"/>
  <c r="M1263" i="1"/>
  <c r="O1263" i="1"/>
  <c r="P1263" i="1"/>
  <c r="J1264" i="1"/>
  <c r="M1264" i="1"/>
  <c r="O1264" i="1"/>
  <c r="P1264" i="1"/>
  <c r="J1265" i="1"/>
  <c r="M1265" i="1"/>
  <c r="O1265" i="1"/>
  <c r="P1265" i="1"/>
  <c r="J1266" i="1"/>
  <c r="K1266" i="1"/>
  <c r="M1266" i="1"/>
  <c r="P1266" i="1"/>
  <c r="J1267" i="1"/>
  <c r="M1267" i="1"/>
  <c r="O1267" i="1"/>
  <c r="P1267" i="1"/>
  <c r="J1268" i="1"/>
  <c r="K1268" i="1"/>
  <c r="M1268" i="1"/>
  <c r="O1268" i="1"/>
  <c r="J1269" i="1"/>
  <c r="K1269" i="1"/>
  <c r="M1269" i="1"/>
  <c r="O1269" i="1"/>
  <c r="P1269" i="1"/>
  <c r="J1270" i="1"/>
  <c r="M1270" i="1"/>
  <c r="O1270" i="1"/>
  <c r="P1270" i="1"/>
  <c r="J1271" i="1"/>
  <c r="K1271" i="1"/>
  <c r="M1271" i="1"/>
  <c r="O1271" i="1"/>
  <c r="P1271" i="1"/>
  <c r="J1272" i="1"/>
  <c r="K1272" i="1"/>
  <c r="M1272" i="1"/>
  <c r="P1272" i="1"/>
  <c r="K1273" i="1"/>
  <c r="M1273" i="1"/>
  <c r="O1273" i="1"/>
  <c r="P1273" i="1"/>
  <c r="J1274" i="1"/>
  <c r="M1274" i="1"/>
  <c r="O1274" i="1"/>
  <c r="P1274" i="1"/>
  <c r="J1275" i="1"/>
  <c r="K1275" i="1"/>
  <c r="M1275" i="1"/>
  <c r="O1275" i="1"/>
  <c r="P1275" i="1"/>
  <c r="J1276" i="1"/>
  <c r="M1276" i="1"/>
  <c r="O1276" i="1"/>
  <c r="P1276" i="1"/>
  <c r="J1277" i="1"/>
  <c r="K1277" i="1"/>
  <c r="M1277" i="1"/>
  <c r="O1277" i="1"/>
  <c r="P1277" i="1"/>
  <c r="J1278" i="1"/>
  <c r="K1278" i="1"/>
  <c r="M1278" i="1"/>
  <c r="P1278" i="1"/>
  <c r="J1279" i="1"/>
  <c r="M1279" i="1"/>
  <c r="O1279" i="1"/>
  <c r="P1279" i="1"/>
  <c r="J1280" i="1"/>
  <c r="K1280" i="1"/>
  <c r="M1280" i="1"/>
  <c r="O1280" i="1"/>
  <c r="P1280" i="1"/>
  <c r="J1281" i="1"/>
  <c r="K1281" i="1"/>
  <c r="M1281" i="1"/>
  <c r="O1281" i="1"/>
  <c r="P1281" i="1"/>
  <c r="J1282" i="1"/>
  <c r="K1282" i="1"/>
  <c r="M1282" i="1"/>
  <c r="O1282" i="1"/>
  <c r="P1282" i="1"/>
  <c r="J1283" i="1"/>
  <c r="M1283" i="1"/>
  <c r="O1283" i="1"/>
  <c r="P1283" i="1"/>
  <c r="J1284" i="1"/>
  <c r="K1284" i="1"/>
  <c r="M1284" i="1"/>
  <c r="P1284" i="1"/>
  <c r="J1285" i="1"/>
  <c r="M1285" i="1"/>
  <c r="O1285" i="1"/>
  <c r="P1285" i="1"/>
  <c r="J1286" i="1"/>
  <c r="K1286" i="1"/>
  <c r="M1286" i="1"/>
  <c r="O1286" i="1"/>
  <c r="J1287" i="1"/>
  <c r="K1287" i="1"/>
  <c r="M1287" i="1"/>
  <c r="O1287" i="1"/>
  <c r="P1287" i="1"/>
  <c r="J1288" i="1"/>
  <c r="M1288" i="1"/>
  <c r="O1288" i="1"/>
  <c r="P1288" i="1"/>
  <c r="J1289" i="1"/>
  <c r="M1289" i="1"/>
  <c r="O1289" i="1"/>
  <c r="P1289" i="1"/>
  <c r="J1290" i="1"/>
  <c r="K1290" i="1"/>
  <c r="M1290" i="1"/>
  <c r="P1290" i="1"/>
  <c r="K1291" i="1"/>
  <c r="M1291" i="1"/>
  <c r="O1291" i="1"/>
  <c r="P1291" i="1"/>
  <c r="J1292" i="1"/>
  <c r="M1292" i="1"/>
  <c r="O1292" i="1"/>
  <c r="P1292" i="1"/>
  <c r="J1293" i="1"/>
  <c r="K1293" i="1"/>
  <c r="M1293" i="1"/>
  <c r="O1293" i="1"/>
  <c r="P1293" i="1"/>
  <c r="J1294" i="1"/>
  <c r="M1294" i="1"/>
  <c r="O1294" i="1"/>
  <c r="P1294" i="1"/>
  <c r="J1295" i="1"/>
  <c r="K1295" i="1"/>
  <c r="M1295" i="1"/>
  <c r="O1295" i="1"/>
  <c r="P1295" i="1"/>
  <c r="J1296" i="1"/>
  <c r="K1296" i="1"/>
  <c r="M1296" i="1"/>
  <c r="P1296" i="1"/>
  <c r="J1297" i="1"/>
  <c r="M1297" i="1"/>
  <c r="O1297" i="1"/>
  <c r="P1297" i="1"/>
  <c r="J1298" i="1"/>
  <c r="M1298" i="1"/>
  <c r="O1298" i="1"/>
  <c r="P1298" i="1"/>
  <c r="J1299" i="1"/>
  <c r="K1299" i="1"/>
  <c r="M1299" i="1"/>
  <c r="O1299" i="1"/>
  <c r="P1299" i="1"/>
  <c r="J1300" i="1"/>
  <c r="M1300" i="1"/>
  <c r="O1300" i="1"/>
  <c r="P1300" i="1"/>
  <c r="J1301" i="1"/>
  <c r="M1301" i="1"/>
  <c r="O1301" i="1"/>
  <c r="P1301" i="1"/>
  <c r="J1302" i="1"/>
  <c r="K1302" i="1"/>
  <c r="M1302" i="1"/>
  <c r="P1302" i="1"/>
  <c r="J1303" i="1"/>
  <c r="M1303" i="1"/>
  <c r="O1303" i="1"/>
  <c r="P1303" i="1"/>
  <c r="J1304" i="1"/>
  <c r="M1304" i="1"/>
  <c r="O1304" i="1"/>
  <c r="P1304" i="1"/>
  <c r="J1305" i="1"/>
  <c r="K1305" i="1"/>
  <c r="M1305" i="1"/>
  <c r="O1305" i="1"/>
  <c r="P1305" i="1"/>
  <c r="J1306" i="1"/>
  <c r="M1306" i="1"/>
  <c r="O1306" i="1"/>
  <c r="P1306" i="1"/>
  <c r="J1307" i="1"/>
  <c r="M1307" i="1"/>
  <c r="O1307" i="1"/>
  <c r="J1308" i="1"/>
  <c r="K1308" i="1"/>
  <c r="M1308" i="1"/>
  <c r="P1308" i="1"/>
  <c r="J1309" i="1"/>
  <c r="M1309" i="1"/>
  <c r="O1309" i="1"/>
  <c r="P1309" i="1"/>
  <c r="J1310" i="1"/>
  <c r="K1310" i="1"/>
  <c r="M1310" i="1"/>
  <c r="O1310" i="1"/>
  <c r="P1310" i="1"/>
  <c r="J1311" i="1"/>
  <c r="K1311" i="1"/>
  <c r="M1311" i="1"/>
  <c r="O1311" i="1"/>
  <c r="P1311" i="1"/>
  <c r="M1312" i="1"/>
  <c r="O1312" i="1"/>
  <c r="P1312" i="1"/>
  <c r="J1313" i="1"/>
  <c r="K1313" i="1"/>
  <c r="M1313" i="1"/>
  <c r="O1313" i="1"/>
  <c r="P1313" i="1"/>
  <c r="J1314" i="1"/>
  <c r="K1314" i="1"/>
  <c r="M1314" i="1"/>
  <c r="P1314" i="1"/>
  <c r="J1315" i="1"/>
  <c r="M1315" i="1"/>
  <c r="O1315" i="1"/>
  <c r="P1315" i="1"/>
  <c r="J1316" i="1"/>
  <c r="M1316" i="1"/>
  <c r="O1316" i="1"/>
  <c r="P1316" i="1"/>
  <c r="J1317" i="1"/>
  <c r="K1317" i="1"/>
  <c r="M1317" i="1"/>
  <c r="O1317" i="1"/>
  <c r="P1317" i="1"/>
  <c r="J1318" i="1"/>
  <c r="M1318" i="1"/>
  <c r="O1318" i="1"/>
  <c r="P1318" i="1"/>
  <c r="J1319" i="1"/>
  <c r="K1319" i="1"/>
  <c r="M1319" i="1"/>
  <c r="O1319" i="1"/>
  <c r="P1319" i="1"/>
  <c r="J1320" i="1"/>
  <c r="K1320" i="1"/>
  <c r="M1320" i="1"/>
  <c r="P1320" i="1"/>
  <c r="J1321" i="1"/>
  <c r="K1321" i="1"/>
  <c r="M1321" i="1"/>
  <c r="O1321" i="1"/>
  <c r="P1321" i="1"/>
  <c r="J1322" i="1"/>
  <c r="K1322" i="1"/>
  <c r="M1322" i="1"/>
  <c r="O1322" i="1"/>
  <c r="P1322" i="1"/>
  <c r="J1323" i="1"/>
  <c r="K1323" i="1"/>
  <c r="M1323" i="1"/>
  <c r="O1323" i="1"/>
  <c r="P1323" i="1"/>
  <c r="J1324" i="1"/>
  <c r="K1324" i="1"/>
  <c r="M1324" i="1"/>
  <c r="O1324" i="1"/>
  <c r="P1324" i="1"/>
  <c r="J1325" i="1"/>
  <c r="K1325" i="1"/>
  <c r="M1325" i="1"/>
  <c r="O1325" i="1"/>
  <c r="J1326" i="1"/>
  <c r="K1326" i="1"/>
  <c r="M1326" i="1"/>
  <c r="P1326" i="1"/>
  <c r="J1327" i="1"/>
  <c r="M1327" i="1"/>
  <c r="O1327" i="1"/>
  <c r="P1327" i="1"/>
  <c r="J1328" i="1"/>
  <c r="K1328" i="1"/>
  <c r="M1328" i="1"/>
  <c r="O1328" i="1"/>
  <c r="P1328" i="1"/>
  <c r="J1329" i="1"/>
  <c r="K1329" i="1"/>
  <c r="M1329" i="1"/>
  <c r="O1329" i="1"/>
  <c r="P1329" i="1"/>
  <c r="M1330" i="1"/>
  <c r="O1330" i="1"/>
  <c r="P1330" i="1"/>
  <c r="J1331" i="1"/>
  <c r="M1331" i="1"/>
  <c r="O1331" i="1"/>
  <c r="P1331" i="1"/>
  <c r="J1332" i="1"/>
  <c r="K1332" i="1"/>
  <c r="M1332" i="1"/>
  <c r="P1332" i="1"/>
  <c r="J1333" i="1"/>
  <c r="M1333" i="1"/>
  <c r="O1333" i="1"/>
  <c r="P1333" i="1"/>
  <c r="J1334" i="1"/>
  <c r="M1334" i="1"/>
  <c r="O1334" i="1"/>
  <c r="P1334" i="1"/>
  <c r="J1335" i="1"/>
  <c r="K1335" i="1"/>
  <c r="M1335" i="1"/>
  <c r="O1335" i="1"/>
  <c r="P1335" i="1"/>
  <c r="J1336" i="1"/>
  <c r="M1336" i="1"/>
  <c r="O1336" i="1"/>
  <c r="P1336" i="1"/>
  <c r="J1337" i="1"/>
  <c r="M1337" i="1"/>
  <c r="O1337" i="1"/>
  <c r="P1337" i="1"/>
  <c r="J1338" i="1"/>
  <c r="K1338" i="1"/>
  <c r="M1338" i="1"/>
  <c r="P1338" i="1"/>
  <c r="J1339" i="1"/>
  <c r="K1339" i="1"/>
  <c r="M1339" i="1"/>
  <c r="O1339" i="1"/>
  <c r="P1339" i="1"/>
  <c r="J1340" i="1"/>
  <c r="M1340" i="1"/>
  <c r="O1340" i="1"/>
  <c r="J1341" i="1"/>
  <c r="K1341" i="1"/>
  <c r="M1341" i="1"/>
  <c r="O1341" i="1"/>
  <c r="P1341" i="1"/>
  <c r="J1342" i="1"/>
  <c r="K1342" i="1"/>
  <c r="M1342" i="1"/>
  <c r="O1342" i="1"/>
  <c r="P1342" i="1"/>
  <c r="J1343" i="1"/>
  <c r="M1343" i="1"/>
  <c r="O1343" i="1"/>
  <c r="P1343" i="1"/>
  <c r="J1344" i="1"/>
  <c r="K1344" i="1"/>
  <c r="M1344" i="1"/>
  <c r="P1344" i="1"/>
  <c r="K1345" i="1"/>
  <c r="M1345" i="1"/>
  <c r="O1345" i="1"/>
  <c r="P1345" i="1"/>
  <c r="J1346" i="1"/>
  <c r="M1346" i="1"/>
  <c r="O1346" i="1"/>
  <c r="P1346" i="1"/>
  <c r="J1347" i="1"/>
  <c r="K1347" i="1"/>
  <c r="M1347" i="1"/>
  <c r="O1347" i="1"/>
  <c r="P1347" i="1"/>
  <c r="J1348" i="1"/>
  <c r="M1348" i="1"/>
  <c r="O1348" i="1"/>
  <c r="P1348" i="1"/>
  <c r="J1349" i="1"/>
  <c r="K1349" i="1"/>
  <c r="M1349" i="1"/>
  <c r="O1349" i="1"/>
  <c r="P1349" i="1"/>
  <c r="J1350" i="1"/>
  <c r="K1350" i="1"/>
  <c r="M1350" i="1"/>
  <c r="P1350" i="1"/>
  <c r="J1351" i="1"/>
  <c r="M1351" i="1"/>
  <c r="O1351" i="1"/>
  <c r="P1351" i="1"/>
  <c r="J1352" i="1"/>
  <c r="M1352" i="1"/>
  <c r="O1352" i="1"/>
  <c r="P1352" i="1"/>
  <c r="J1353" i="1"/>
  <c r="K1353" i="1"/>
  <c r="M1353" i="1"/>
  <c r="O1353" i="1"/>
  <c r="P1353" i="1"/>
  <c r="J1354" i="1"/>
  <c r="M1354" i="1"/>
  <c r="O1354" i="1"/>
  <c r="P1354" i="1"/>
  <c r="J1355" i="1"/>
  <c r="M1355" i="1"/>
  <c r="O1355" i="1"/>
  <c r="P1355" i="1"/>
  <c r="J1356" i="1"/>
  <c r="K1356" i="1"/>
  <c r="M1356" i="1"/>
  <c r="P1356" i="1"/>
  <c r="J1357" i="1"/>
  <c r="K1357" i="1"/>
  <c r="M1357" i="1"/>
  <c r="O1357" i="1"/>
  <c r="P1357" i="1"/>
  <c r="J1358" i="1"/>
  <c r="M1358" i="1"/>
  <c r="O1358" i="1"/>
  <c r="J1359" i="1"/>
  <c r="K1359" i="1"/>
  <c r="M1359" i="1"/>
  <c r="O1359" i="1"/>
  <c r="P1359" i="1"/>
  <c r="J1360" i="1"/>
  <c r="M1360" i="1"/>
  <c r="O1360" i="1"/>
  <c r="P1360" i="1"/>
  <c r="J1361" i="1"/>
  <c r="M1361" i="1"/>
  <c r="O1361" i="1"/>
  <c r="P1361" i="1"/>
  <c r="J1362" i="1"/>
  <c r="K1362" i="1"/>
  <c r="M1362" i="1"/>
  <c r="P1362" i="1"/>
  <c r="M1363" i="1"/>
  <c r="O1363" i="1"/>
  <c r="P1363" i="1"/>
  <c r="J1364" i="1"/>
  <c r="M1364" i="1"/>
  <c r="O1364" i="1"/>
  <c r="P1364" i="1"/>
  <c r="J1365" i="1"/>
  <c r="K1365" i="1"/>
  <c r="M1365" i="1"/>
  <c r="O1365" i="1"/>
  <c r="P1365" i="1"/>
  <c r="J1366" i="1"/>
  <c r="M1366" i="1"/>
  <c r="O1366" i="1"/>
  <c r="P1366" i="1"/>
  <c r="J1367" i="1"/>
  <c r="M1367" i="1"/>
  <c r="O1367" i="1"/>
  <c r="P1367" i="1"/>
  <c r="J1368" i="1"/>
  <c r="K1368" i="1"/>
  <c r="M1368" i="1"/>
  <c r="P1368" i="1"/>
  <c r="J1369" i="1"/>
  <c r="M1369" i="1"/>
  <c r="O1369" i="1"/>
  <c r="P1369" i="1"/>
  <c r="J1370" i="1"/>
  <c r="M1370" i="1"/>
  <c r="O1370" i="1"/>
  <c r="P1370" i="1"/>
  <c r="J1371" i="1"/>
  <c r="K1371" i="1"/>
  <c r="M1371" i="1"/>
  <c r="O1371" i="1"/>
  <c r="P1371" i="1"/>
  <c r="J1372" i="1"/>
  <c r="M1372" i="1"/>
  <c r="O1372" i="1"/>
  <c r="P1372" i="1"/>
  <c r="J1373" i="1"/>
  <c r="M1373" i="1"/>
  <c r="O1373" i="1"/>
  <c r="P1373" i="1"/>
  <c r="J1374" i="1"/>
  <c r="K1374" i="1"/>
  <c r="M1374" i="1"/>
  <c r="P1374" i="1"/>
  <c r="J1375" i="1"/>
  <c r="K1375" i="1"/>
  <c r="M1375" i="1"/>
  <c r="O1375" i="1"/>
  <c r="P1375" i="1"/>
  <c r="J1376" i="1"/>
  <c r="M1376" i="1"/>
  <c r="O1376" i="1"/>
  <c r="P1376" i="1"/>
  <c r="J1377" i="1"/>
  <c r="K1377" i="1"/>
  <c r="M1377" i="1"/>
  <c r="O1377" i="1"/>
  <c r="P1377" i="1"/>
  <c r="J1378" i="1"/>
  <c r="M1378" i="1"/>
  <c r="O1378" i="1"/>
  <c r="P1378" i="1"/>
  <c r="J1379" i="1"/>
  <c r="K1379" i="1"/>
  <c r="M1379" i="1"/>
  <c r="O1379" i="1"/>
  <c r="J1380" i="1"/>
  <c r="K1380" i="1"/>
  <c r="M1380" i="1"/>
  <c r="P1380" i="1"/>
  <c r="J1381" i="1"/>
  <c r="K1381" i="1"/>
  <c r="M1381" i="1"/>
  <c r="O1381" i="1"/>
  <c r="P1381" i="1"/>
  <c r="J1382" i="1"/>
  <c r="M1382" i="1"/>
  <c r="O1382" i="1"/>
  <c r="P1382" i="1"/>
  <c r="J1383" i="1"/>
  <c r="K1383" i="1"/>
  <c r="M1383" i="1"/>
  <c r="O1383" i="1"/>
  <c r="P1383" i="1"/>
  <c r="K1384" i="1"/>
  <c r="M1384" i="1"/>
  <c r="O1384" i="1"/>
  <c r="P1384" i="1"/>
  <c r="J1385" i="1"/>
  <c r="M1385" i="1"/>
  <c r="O1385" i="1"/>
  <c r="P1385" i="1"/>
  <c r="J1386" i="1"/>
  <c r="K1386" i="1"/>
  <c r="M1386" i="1"/>
  <c r="P1386" i="1"/>
  <c r="J1387" i="1"/>
  <c r="K1387" i="1"/>
  <c r="M1387" i="1"/>
  <c r="O1387" i="1"/>
  <c r="P1387" i="1"/>
  <c r="J1388" i="1"/>
  <c r="M1388" i="1"/>
  <c r="O1388" i="1"/>
  <c r="P1388" i="1"/>
  <c r="J1389" i="1"/>
  <c r="K1389" i="1"/>
  <c r="M1389" i="1"/>
  <c r="O1389" i="1"/>
  <c r="P1389" i="1"/>
  <c r="J1390" i="1"/>
  <c r="M1390" i="1"/>
  <c r="O1390" i="1"/>
  <c r="P1390" i="1"/>
  <c r="J1391" i="1"/>
  <c r="K1391" i="1"/>
  <c r="M1391" i="1"/>
  <c r="O1391" i="1"/>
  <c r="P1391" i="1"/>
  <c r="J1392" i="1"/>
  <c r="K1392" i="1"/>
  <c r="M1392" i="1"/>
  <c r="P1392" i="1"/>
  <c r="J1393" i="1"/>
  <c r="M1393" i="1"/>
  <c r="O1393" i="1"/>
  <c r="P1393" i="1"/>
  <c r="J1394" i="1"/>
  <c r="K1394" i="1"/>
  <c r="M1394" i="1"/>
  <c r="O1394" i="1"/>
  <c r="P1394" i="1"/>
  <c r="J1395" i="1"/>
  <c r="K1395" i="1"/>
  <c r="M1395" i="1"/>
  <c r="O1395" i="1"/>
  <c r="P1395" i="1"/>
  <c r="J1396" i="1"/>
  <c r="K1396" i="1"/>
  <c r="M1396" i="1"/>
  <c r="O1396" i="1"/>
  <c r="P1396" i="1"/>
  <c r="J1397" i="1"/>
  <c r="M1397" i="1"/>
  <c r="O1397" i="1"/>
  <c r="J1398" i="1"/>
  <c r="K1398" i="1"/>
  <c r="M1398" i="1"/>
  <c r="P1398" i="1"/>
  <c r="J1399" i="1"/>
  <c r="K1399" i="1"/>
  <c r="M1399" i="1"/>
  <c r="O1399" i="1"/>
  <c r="P1399" i="1"/>
  <c r="J1400" i="1"/>
  <c r="M1400" i="1"/>
  <c r="O1400" i="1"/>
  <c r="P1400" i="1"/>
  <c r="J1401" i="1"/>
  <c r="K1401" i="1"/>
  <c r="M1401" i="1"/>
  <c r="O1401" i="1"/>
  <c r="P1401" i="1"/>
  <c r="K1402" i="1"/>
  <c r="M1402" i="1"/>
  <c r="O1402" i="1"/>
  <c r="P1402" i="1"/>
  <c r="J1403" i="1"/>
  <c r="K1403" i="1"/>
  <c r="M1403" i="1"/>
  <c r="O1403" i="1"/>
  <c r="P1403" i="1"/>
  <c r="J1404" i="1"/>
  <c r="K1404" i="1"/>
  <c r="M1404" i="1"/>
  <c r="P1404" i="1"/>
  <c r="J1405" i="1"/>
  <c r="K1405" i="1"/>
  <c r="M1405" i="1"/>
  <c r="O1405" i="1"/>
  <c r="P1405" i="1"/>
  <c r="J1406" i="1"/>
  <c r="M1406" i="1"/>
  <c r="O1406" i="1"/>
  <c r="P1406" i="1"/>
  <c r="J1407" i="1"/>
  <c r="K1407" i="1"/>
  <c r="M1407" i="1"/>
  <c r="O1407" i="1"/>
  <c r="P1407" i="1"/>
  <c r="J1408" i="1"/>
  <c r="M1408" i="1"/>
  <c r="O1408" i="1"/>
  <c r="P1408" i="1"/>
  <c r="J1409" i="1"/>
  <c r="K1409" i="1"/>
  <c r="M1409" i="1"/>
  <c r="O1409" i="1"/>
  <c r="P1409" i="1"/>
  <c r="J1410" i="1"/>
  <c r="K1410" i="1"/>
  <c r="M1410" i="1"/>
  <c r="P1410" i="1"/>
  <c r="J1411" i="1"/>
  <c r="K1411" i="1"/>
  <c r="M1411" i="1"/>
  <c r="O1411" i="1"/>
  <c r="P1411" i="1"/>
  <c r="J1412" i="1"/>
  <c r="M1412" i="1"/>
  <c r="O1412" i="1"/>
  <c r="J1413" i="1"/>
  <c r="K1413" i="1"/>
  <c r="M1413" i="1"/>
  <c r="O1413" i="1"/>
  <c r="P1413" i="1"/>
  <c r="J1414" i="1"/>
  <c r="K1414" i="1"/>
  <c r="M1414" i="1"/>
  <c r="O1414" i="1"/>
  <c r="P1414" i="1"/>
  <c r="J1415" i="1"/>
  <c r="K1415" i="1"/>
  <c r="M1415" i="1"/>
  <c r="O1415" i="1"/>
  <c r="P1415" i="1"/>
  <c r="J1416" i="1"/>
  <c r="K1416" i="1"/>
  <c r="M1416" i="1"/>
  <c r="P1416" i="1"/>
  <c r="K1417" i="1"/>
  <c r="M1417" i="1"/>
  <c r="O1417" i="1"/>
  <c r="P1417" i="1"/>
  <c r="J1418" i="1"/>
  <c r="M1418" i="1"/>
  <c r="O1418" i="1"/>
  <c r="P1418" i="1"/>
  <c r="J1419" i="1"/>
  <c r="K1419" i="1"/>
  <c r="M1419" i="1"/>
  <c r="O1419" i="1"/>
  <c r="P1419" i="1"/>
  <c r="J1420" i="1"/>
  <c r="K1420" i="1"/>
  <c r="M1420" i="1"/>
  <c r="O1420" i="1"/>
  <c r="P1420" i="1"/>
  <c r="J1421" i="1"/>
  <c r="K1421" i="1"/>
  <c r="M1421" i="1"/>
  <c r="O1421" i="1"/>
  <c r="P1421" i="1"/>
  <c r="J1422" i="1"/>
  <c r="K1422" i="1"/>
  <c r="M1422" i="1"/>
  <c r="P1422" i="1"/>
  <c r="J1423" i="1"/>
  <c r="M1423" i="1"/>
  <c r="O1423" i="1"/>
  <c r="P1423" i="1"/>
  <c r="J1424" i="1"/>
  <c r="K1424" i="1"/>
  <c r="M1424" i="1"/>
  <c r="O1424" i="1"/>
  <c r="P1424" i="1"/>
  <c r="J1425" i="1"/>
  <c r="K1425" i="1"/>
  <c r="M1425" i="1"/>
  <c r="O1425" i="1"/>
  <c r="P1425" i="1"/>
  <c r="J1426" i="1"/>
  <c r="K1426" i="1"/>
  <c r="M1426" i="1"/>
  <c r="O1426" i="1"/>
  <c r="P1426" i="1"/>
  <c r="J1427" i="1"/>
  <c r="M1427" i="1"/>
  <c r="O1427" i="1"/>
  <c r="P1427" i="1"/>
  <c r="J1428" i="1"/>
  <c r="K1428" i="1"/>
  <c r="M1428" i="1"/>
  <c r="P1428" i="1"/>
  <c r="J1429" i="1"/>
  <c r="K1429" i="1"/>
  <c r="M1429" i="1"/>
  <c r="O1429" i="1"/>
  <c r="P1429" i="1"/>
  <c r="J1430" i="1"/>
  <c r="K1430" i="1"/>
  <c r="M1430" i="1"/>
  <c r="O1430" i="1"/>
  <c r="J1431" i="1"/>
  <c r="K1431" i="1"/>
  <c r="M1431" i="1"/>
  <c r="O1431" i="1"/>
  <c r="P1431" i="1"/>
  <c r="J1432" i="1"/>
  <c r="K1432" i="1"/>
  <c r="M1432" i="1"/>
  <c r="O1432" i="1"/>
  <c r="P1432" i="1"/>
  <c r="J1433" i="1"/>
  <c r="K1433" i="1"/>
  <c r="M1433" i="1"/>
  <c r="O1433" i="1"/>
  <c r="P1433" i="1"/>
  <c r="J1434" i="1"/>
  <c r="K1434" i="1"/>
  <c r="M1434" i="1"/>
  <c r="P1434" i="1"/>
  <c r="K1435" i="1"/>
  <c r="M1435" i="1"/>
  <c r="O1435" i="1"/>
  <c r="P1435" i="1"/>
  <c r="J1436" i="1"/>
  <c r="M1436" i="1"/>
  <c r="O1436" i="1"/>
  <c r="P1436" i="1"/>
  <c r="J1437" i="1"/>
  <c r="K1437" i="1"/>
  <c r="M1437" i="1"/>
  <c r="O1437" i="1"/>
  <c r="P1437" i="1"/>
  <c r="J1438" i="1"/>
  <c r="K1438" i="1"/>
  <c r="M1438" i="1"/>
  <c r="O1438" i="1"/>
  <c r="P1438" i="1"/>
  <c r="J1439" i="1"/>
  <c r="K1439" i="1"/>
  <c r="M1439" i="1"/>
  <c r="O1439" i="1"/>
  <c r="P1439" i="1"/>
  <c r="J1440" i="1"/>
  <c r="K1440" i="1"/>
  <c r="M1440" i="1"/>
  <c r="P1440" i="1"/>
  <c r="J1441" i="1"/>
  <c r="M1441" i="1"/>
  <c r="O1441" i="1"/>
  <c r="P1441" i="1"/>
  <c r="J1442" i="1"/>
  <c r="M1442" i="1"/>
  <c r="O1442" i="1"/>
  <c r="P1442" i="1"/>
  <c r="J1443" i="1"/>
  <c r="K1443" i="1"/>
  <c r="M1443" i="1"/>
  <c r="O1443" i="1"/>
  <c r="P1443" i="1"/>
  <c r="J1444" i="1"/>
  <c r="M1444" i="1"/>
  <c r="O1444" i="1"/>
  <c r="P1444" i="1"/>
  <c r="J1445" i="1"/>
  <c r="M1445" i="1"/>
  <c r="O1445" i="1"/>
  <c r="P1445" i="1"/>
  <c r="J1446" i="1"/>
  <c r="K1446" i="1"/>
  <c r="M1446" i="1"/>
  <c r="P1446" i="1"/>
  <c r="J1447" i="1"/>
  <c r="K1447" i="1"/>
  <c r="M1447" i="1"/>
  <c r="O1447" i="1"/>
  <c r="P1447" i="1"/>
  <c r="J1448" i="1"/>
  <c r="K1448" i="1"/>
  <c r="M1448" i="1"/>
  <c r="O1448" i="1"/>
  <c r="P1448" i="1"/>
  <c r="J1449" i="1"/>
  <c r="K1449" i="1"/>
  <c r="M1449" i="1"/>
  <c r="O1449" i="1"/>
  <c r="P1449" i="1"/>
  <c r="J1450" i="1"/>
  <c r="K1450" i="1"/>
  <c r="M1450" i="1"/>
  <c r="O1450" i="1"/>
  <c r="P1450" i="1"/>
  <c r="J1451" i="1"/>
  <c r="M1451" i="1"/>
  <c r="O1451" i="1"/>
  <c r="J1452" i="1"/>
  <c r="K1452" i="1"/>
  <c r="M1452" i="1"/>
  <c r="P1452" i="1"/>
  <c r="J1453" i="1"/>
  <c r="K1453" i="1"/>
  <c r="M1453" i="1"/>
  <c r="O1453" i="1"/>
  <c r="P1453" i="1"/>
  <c r="J1454" i="1"/>
  <c r="M1454" i="1"/>
  <c r="O1454" i="1"/>
  <c r="P1454" i="1"/>
  <c r="J1455" i="1"/>
  <c r="K1455" i="1"/>
  <c r="M1455" i="1"/>
  <c r="O1455" i="1"/>
  <c r="P1455" i="1"/>
  <c r="K1456" i="1"/>
  <c r="M1456" i="1"/>
  <c r="O1456" i="1"/>
  <c r="P1456" i="1"/>
  <c r="J1457" i="1"/>
  <c r="K1457" i="1"/>
  <c r="M1457" i="1"/>
  <c r="O1457" i="1"/>
  <c r="P1457" i="1"/>
  <c r="J1458" i="1"/>
  <c r="K1458" i="1"/>
  <c r="M1458" i="1"/>
  <c r="P1458" i="1"/>
  <c r="J1459" i="1"/>
  <c r="M1459" i="1"/>
  <c r="O1459" i="1"/>
  <c r="P1459" i="1"/>
  <c r="J1460" i="1"/>
  <c r="M1460" i="1"/>
  <c r="O1460" i="1"/>
  <c r="P1460" i="1"/>
  <c r="J1461" i="1"/>
  <c r="K1461" i="1"/>
  <c r="M1461" i="1"/>
  <c r="O1461" i="1"/>
  <c r="P1461" i="1"/>
  <c r="J1462" i="1"/>
  <c r="M1462" i="1"/>
  <c r="O1462" i="1"/>
  <c r="P1462" i="1"/>
  <c r="J1463" i="1"/>
  <c r="K1463" i="1"/>
  <c r="M1463" i="1"/>
  <c r="O1463" i="1"/>
  <c r="P1463" i="1"/>
  <c r="J1464" i="1"/>
  <c r="K1464" i="1"/>
  <c r="M1464" i="1"/>
  <c r="P1464" i="1"/>
  <c r="J1465" i="1"/>
  <c r="K1465" i="1"/>
  <c r="M1465" i="1"/>
  <c r="O1465" i="1"/>
  <c r="P1465" i="1"/>
  <c r="J1466" i="1"/>
  <c r="K1466" i="1"/>
  <c r="M1466" i="1"/>
  <c r="O1466" i="1"/>
  <c r="P1466" i="1"/>
  <c r="J1467" i="1"/>
  <c r="K1467" i="1"/>
  <c r="M1467" i="1"/>
  <c r="O1467" i="1"/>
  <c r="P1467" i="1"/>
  <c r="J1468" i="1"/>
  <c r="K1468" i="1"/>
  <c r="M1468" i="1"/>
  <c r="O1468" i="1"/>
  <c r="P1468" i="1"/>
  <c r="J1469" i="1"/>
  <c r="M1469" i="1"/>
  <c r="O1469" i="1"/>
  <c r="J1470" i="1"/>
  <c r="K1470" i="1"/>
  <c r="M1470" i="1"/>
  <c r="P1470" i="1"/>
  <c r="J1471" i="1"/>
  <c r="K1471" i="1"/>
  <c r="M1471" i="1"/>
  <c r="O1471" i="1"/>
  <c r="P1471" i="1"/>
  <c r="J1472" i="1"/>
  <c r="K1472" i="1"/>
  <c r="M1472" i="1"/>
  <c r="O1472" i="1"/>
  <c r="P1472" i="1"/>
  <c r="J1473" i="1"/>
  <c r="K1473" i="1"/>
  <c r="M1473" i="1"/>
  <c r="O1473" i="1"/>
  <c r="P1473" i="1"/>
  <c r="M1474" i="1"/>
  <c r="O1474" i="1"/>
  <c r="P1474" i="1"/>
  <c r="J1475" i="1"/>
  <c r="K1475" i="1"/>
  <c r="M1475" i="1"/>
  <c r="O1475" i="1"/>
  <c r="P1475" i="1"/>
  <c r="J1476" i="1"/>
  <c r="K1476" i="1"/>
  <c r="M1476" i="1"/>
  <c r="P1476" i="1"/>
  <c r="J1477" i="1"/>
  <c r="K1477" i="1"/>
  <c r="M1477" i="1"/>
  <c r="O1477" i="1"/>
  <c r="P1477" i="1"/>
  <c r="J1478" i="1"/>
  <c r="M1478" i="1"/>
  <c r="O1478" i="1"/>
  <c r="P1478" i="1"/>
  <c r="J1479" i="1"/>
  <c r="K1479" i="1"/>
  <c r="M1479" i="1"/>
  <c r="O1479" i="1"/>
  <c r="P1479" i="1"/>
  <c r="J1480" i="1"/>
  <c r="M1480" i="1"/>
  <c r="O1480" i="1"/>
  <c r="P1480" i="1"/>
  <c r="J1481" i="1"/>
  <c r="K1481" i="1"/>
  <c r="M1481" i="1"/>
  <c r="O1481" i="1"/>
  <c r="P1481" i="1"/>
  <c r="J1482" i="1"/>
  <c r="K1482" i="1"/>
  <c r="M1482" i="1"/>
  <c r="P1482" i="1"/>
  <c r="J1483" i="1"/>
  <c r="K1483" i="1"/>
  <c r="M1483" i="1"/>
  <c r="O1483" i="1"/>
  <c r="P1483" i="1"/>
  <c r="J1484" i="1"/>
  <c r="K1484" i="1"/>
  <c r="M1484" i="1"/>
  <c r="O1484" i="1"/>
  <c r="J1485" i="1"/>
  <c r="K1485" i="1"/>
  <c r="M1485" i="1"/>
  <c r="O1485" i="1"/>
  <c r="P1485" i="1"/>
  <c r="J1486" i="1"/>
  <c r="K1486" i="1"/>
  <c r="M1486" i="1"/>
  <c r="O1486" i="1"/>
  <c r="P1486" i="1"/>
  <c r="J1487" i="1"/>
  <c r="M1487" i="1"/>
  <c r="O1487" i="1"/>
  <c r="P1487" i="1"/>
  <c r="J1488" i="1"/>
  <c r="K1488" i="1"/>
  <c r="M1488" i="1"/>
  <c r="P1488" i="1"/>
  <c r="K1489" i="1"/>
  <c r="M1489" i="1"/>
  <c r="O1489" i="1"/>
  <c r="P1489" i="1"/>
  <c r="J1490" i="1"/>
  <c r="K1490" i="1"/>
  <c r="M1490" i="1"/>
  <c r="O1490" i="1"/>
  <c r="P1490" i="1"/>
  <c r="J1491" i="1"/>
  <c r="K1491" i="1"/>
  <c r="M1491" i="1"/>
  <c r="O1491" i="1"/>
  <c r="P1491" i="1"/>
  <c r="J1492" i="1"/>
  <c r="K1492" i="1"/>
  <c r="M1492" i="1"/>
  <c r="O1492" i="1"/>
  <c r="P1492" i="1"/>
  <c r="J1493" i="1"/>
  <c r="K1493" i="1"/>
  <c r="M1493" i="1"/>
  <c r="O1493" i="1"/>
  <c r="P1493" i="1"/>
  <c r="J1494" i="1"/>
  <c r="K1494" i="1"/>
  <c r="M1494" i="1"/>
  <c r="P1494" i="1"/>
  <c r="J1495" i="1"/>
  <c r="M1495" i="1"/>
  <c r="O1495" i="1"/>
  <c r="P1495" i="1"/>
  <c r="J1496" i="1"/>
  <c r="K1496" i="1"/>
  <c r="M1496" i="1"/>
  <c r="O1496" i="1"/>
  <c r="P1496" i="1"/>
  <c r="J1497" i="1"/>
  <c r="K1497" i="1"/>
  <c r="M1497" i="1"/>
  <c r="O1497" i="1"/>
  <c r="P1497" i="1"/>
  <c r="J1498" i="1"/>
  <c r="K1498" i="1"/>
  <c r="M1498" i="1"/>
  <c r="O1498" i="1"/>
  <c r="P1498" i="1"/>
  <c r="J1499" i="1"/>
  <c r="M1499" i="1"/>
  <c r="O1499" i="1"/>
  <c r="P1499" i="1"/>
  <c r="J1500" i="1"/>
  <c r="K1500" i="1"/>
  <c r="M1500" i="1"/>
  <c r="P1500" i="1"/>
  <c r="H3" i="1"/>
  <c r="H6" i="1"/>
  <c r="H8" i="1"/>
  <c r="H9" i="1"/>
  <c r="H12" i="1"/>
  <c r="H13" i="1"/>
  <c r="H15" i="1"/>
  <c r="H17" i="1"/>
  <c r="H18" i="1"/>
  <c r="H21" i="1"/>
  <c r="H24" i="1"/>
  <c r="H27" i="1"/>
  <c r="H30" i="1"/>
  <c r="H33" i="1"/>
  <c r="H36" i="1"/>
  <c r="H39" i="1"/>
  <c r="H40" i="1"/>
  <c r="H42" i="1"/>
  <c r="H45" i="1"/>
  <c r="H48" i="1"/>
  <c r="H51" i="1"/>
  <c r="H54" i="1"/>
  <c r="H57" i="1"/>
  <c r="H60" i="1"/>
  <c r="H63" i="1"/>
  <c r="H66" i="1"/>
  <c r="H69" i="1"/>
  <c r="H71" i="1"/>
  <c r="H72" i="1"/>
  <c r="H75" i="1"/>
  <c r="H78" i="1"/>
  <c r="H81" i="1"/>
  <c r="H84" i="1"/>
  <c r="H87" i="1"/>
  <c r="H89" i="1"/>
  <c r="H90" i="1"/>
  <c r="H93" i="1"/>
  <c r="H96" i="1"/>
  <c r="H99" i="1"/>
  <c r="H102" i="1"/>
  <c r="H105" i="1"/>
  <c r="H108" i="1"/>
  <c r="H111" i="1"/>
  <c r="H114" i="1"/>
  <c r="H117" i="1"/>
  <c r="H120" i="1"/>
  <c r="H123" i="1"/>
  <c r="H126" i="1"/>
  <c r="H129" i="1"/>
  <c r="H132" i="1"/>
  <c r="H135" i="1"/>
  <c r="H136" i="1"/>
  <c r="H138" i="1"/>
  <c r="H141" i="1"/>
  <c r="H144" i="1"/>
  <c r="H147" i="1"/>
  <c r="H150" i="1"/>
  <c r="H152" i="1"/>
  <c r="H153" i="1"/>
  <c r="H156" i="1"/>
  <c r="H159" i="1"/>
  <c r="H162" i="1"/>
  <c r="H165" i="1"/>
  <c r="H168" i="1"/>
  <c r="H171" i="1"/>
  <c r="H172" i="1"/>
  <c r="H174" i="1"/>
  <c r="H176" i="1"/>
  <c r="H177" i="1"/>
  <c r="H180" i="1"/>
  <c r="H183" i="1"/>
  <c r="H186" i="1"/>
  <c r="H189" i="1"/>
  <c r="H191" i="1"/>
  <c r="H192" i="1"/>
  <c r="H195" i="1"/>
  <c r="H196" i="1"/>
  <c r="H198" i="1"/>
  <c r="H201" i="1"/>
  <c r="H204" i="1"/>
  <c r="H207" i="1"/>
  <c r="H209" i="1"/>
  <c r="H210" i="1"/>
  <c r="H213" i="1"/>
  <c r="H214" i="1"/>
  <c r="H216" i="1"/>
  <c r="H219" i="1"/>
  <c r="H220" i="1"/>
  <c r="H222" i="1"/>
  <c r="H225" i="1"/>
  <c r="H227" i="1"/>
  <c r="H228" i="1"/>
  <c r="H230" i="1"/>
  <c r="H231" i="1"/>
  <c r="H234" i="1"/>
  <c r="H237" i="1"/>
  <c r="H239" i="1"/>
  <c r="H240" i="1"/>
  <c r="H241" i="1"/>
  <c r="H243" i="1"/>
  <c r="H245" i="1"/>
  <c r="H246" i="1"/>
  <c r="H249" i="1"/>
  <c r="H252" i="1"/>
  <c r="H254" i="1"/>
  <c r="H255" i="1"/>
  <c r="H256" i="1"/>
  <c r="H258" i="1"/>
  <c r="H261" i="1"/>
  <c r="H264" i="1"/>
  <c r="H267" i="1"/>
  <c r="H269" i="1"/>
  <c r="H270" i="1"/>
  <c r="H272" i="1"/>
  <c r="H273" i="1"/>
  <c r="H276" i="1"/>
  <c r="H279" i="1"/>
  <c r="H282" i="1"/>
  <c r="H285" i="1"/>
  <c r="H288" i="1"/>
  <c r="H289" i="1"/>
  <c r="H291" i="1"/>
  <c r="H293" i="1"/>
  <c r="H294" i="1"/>
  <c r="H297" i="1"/>
  <c r="H299" i="1"/>
  <c r="H300" i="1"/>
  <c r="H302" i="1"/>
  <c r="H303" i="1"/>
  <c r="H306" i="1"/>
  <c r="H308" i="1"/>
  <c r="H309" i="1"/>
  <c r="H312" i="1"/>
  <c r="H315" i="1"/>
  <c r="H317" i="1"/>
  <c r="H318" i="1"/>
  <c r="H320" i="1"/>
  <c r="H321" i="1"/>
  <c r="H324" i="1"/>
  <c r="H327" i="1"/>
  <c r="H330" i="1"/>
  <c r="H332" i="1"/>
  <c r="H333" i="1"/>
  <c r="H335" i="1"/>
  <c r="H336" i="1"/>
  <c r="H338" i="1"/>
  <c r="H339" i="1"/>
  <c r="H342" i="1"/>
  <c r="H344" i="1"/>
  <c r="H345" i="1"/>
  <c r="H347" i="1"/>
  <c r="H348" i="1"/>
  <c r="H351" i="1"/>
  <c r="H354" i="1"/>
  <c r="H356" i="1"/>
  <c r="H357" i="1"/>
  <c r="H360" i="1"/>
  <c r="H363" i="1"/>
  <c r="H366" i="1"/>
  <c r="H369" i="1"/>
  <c r="H370" i="1"/>
  <c r="H371" i="1"/>
  <c r="H372" i="1"/>
  <c r="H375" i="1"/>
  <c r="H377" i="1"/>
  <c r="H378" i="1"/>
  <c r="H381" i="1"/>
  <c r="H384" i="1"/>
  <c r="H387" i="1"/>
  <c r="H390" i="1"/>
  <c r="H393" i="1"/>
  <c r="H396" i="1"/>
  <c r="H397" i="1"/>
  <c r="H399" i="1"/>
  <c r="H400" i="1"/>
  <c r="H402" i="1"/>
  <c r="H405" i="1"/>
  <c r="H407" i="1"/>
  <c r="H408" i="1"/>
  <c r="H410" i="1"/>
  <c r="H411" i="1"/>
  <c r="H412" i="1"/>
  <c r="H414" i="1"/>
  <c r="H416" i="1"/>
  <c r="H417" i="1"/>
  <c r="H420" i="1"/>
  <c r="H422" i="1"/>
  <c r="H423" i="1"/>
  <c r="H425" i="1"/>
  <c r="H426" i="1"/>
  <c r="H429" i="1"/>
  <c r="H432" i="1"/>
  <c r="H435" i="1"/>
  <c r="H437" i="1"/>
  <c r="H438" i="1"/>
  <c r="H440" i="1"/>
  <c r="H441" i="1"/>
  <c r="H442" i="1"/>
  <c r="H444" i="1"/>
  <c r="H445" i="1"/>
  <c r="H446" i="1"/>
  <c r="H447" i="1"/>
  <c r="H450" i="1"/>
  <c r="H453" i="1"/>
  <c r="H455" i="1"/>
  <c r="H456" i="1"/>
  <c r="H458" i="1"/>
  <c r="H459" i="1"/>
  <c r="H461" i="1"/>
  <c r="H462" i="1"/>
  <c r="H464" i="1"/>
  <c r="H465" i="1"/>
  <c r="H468" i="1"/>
  <c r="H471" i="1"/>
  <c r="H472" i="1"/>
  <c r="H473" i="1"/>
  <c r="H474" i="1"/>
  <c r="H477" i="1"/>
  <c r="H479" i="1"/>
  <c r="H480" i="1"/>
  <c r="H483" i="1"/>
  <c r="H485" i="1"/>
  <c r="H486" i="1"/>
  <c r="H488" i="1"/>
  <c r="H489" i="1"/>
  <c r="H491" i="1"/>
  <c r="H492" i="1"/>
  <c r="H494" i="1"/>
  <c r="H495" i="1"/>
  <c r="H498" i="1"/>
  <c r="H500" i="1"/>
  <c r="H501" i="1"/>
  <c r="H503" i="1"/>
  <c r="H504" i="1"/>
  <c r="H507" i="1"/>
  <c r="H508" i="1"/>
  <c r="H510" i="1"/>
  <c r="H512" i="1"/>
  <c r="H513" i="1"/>
  <c r="H515" i="1"/>
  <c r="H516" i="1"/>
  <c r="H518" i="1"/>
  <c r="H519" i="1"/>
  <c r="H521" i="1"/>
  <c r="H522" i="1"/>
  <c r="H524" i="1"/>
  <c r="H525" i="1"/>
  <c r="H527" i="1"/>
  <c r="H528" i="1"/>
  <c r="H529" i="1"/>
  <c r="H530" i="1"/>
  <c r="H531" i="1"/>
  <c r="H533" i="1"/>
  <c r="H534" i="1"/>
  <c r="H537" i="1"/>
  <c r="H539" i="1"/>
  <c r="H540" i="1"/>
  <c r="H542" i="1"/>
  <c r="H543" i="1"/>
  <c r="H546" i="1"/>
  <c r="H548" i="1"/>
  <c r="H549" i="1"/>
  <c r="H550" i="1"/>
  <c r="H551" i="1"/>
  <c r="H552" i="1"/>
  <c r="H554" i="1"/>
  <c r="H555" i="1"/>
  <c r="H557" i="1"/>
  <c r="H558" i="1"/>
  <c r="H560" i="1"/>
  <c r="H561" i="1"/>
  <c r="H563" i="1"/>
  <c r="H564" i="1"/>
  <c r="H565" i="1"/>
  <c r="H566" i="1"/>
  <c r="H567" i="1"/>
  <c r="H568" i="1"/>
  <c r="H570" i="1"/>
  <c r="H573" i="1"/>
  <c r="H576" i="1"/>
  <c r="H577" i="1"/>
  <c r="H578" i="1"/>
  <c r="H579" i="1"/>
  <c r="H580" i="1"/>
  <c r="H581" i="1"/>
  <c r="H582" i="1"/>
  <c r="H584" i="1"/>
  <c r="H585" i="1"/>
  <c r="H587" i="1"/>
  <c r="H588" i="1"/>
  <c r="H590" i="1"/>
  <c r="H591" i="1"/>
  <c r="H593" i="1"/>
  <c r="H594" i="1"/>
  <c r="H596" i="1"/>
  <c r="H597" i="1"/>
  <c r="H600" i="1"/>
  <c r="H602" i="1"/>
  <c r="H603" i="1"/>
  <c r="H605" i="1"/>
  <c r="H606" i="1"/>
  <c r="H608" i="1"/>
  <c r="H609" i="1"/>
  <c r="H610" i="1"/>
  <c r="H612" i="1"/>
  <c r="H615" i="1"/>
  <c r="H616" i="1"/>
  <c r="H617" i="1"/>
  <c r="H618" i="1"/>
  <c r="H620" i="1"/>
  <c r="H621" i="1"/>
  <c r="H622" i="1"/>
  <c r="H623" i="1"/>
  <c r="H624" i="1"/>
  <c r="H625" i="1"/>
  <c r="H626" i="1"/>
  <c r="H627" i="1"/>
  <c r="H629" i="1"/>
  <c r="H630" i="1"/>
  <c r="H632" i="1"/>
  <c r="H633" i="1"/>
  <c r="H635" i="1"/>
  <c r="H636" i="1"/>
  <c r="H638" i="1"/>
  <c r="H639" i="1"/>
  <c r="H641" i="1"/>
  <c r="H642" i="1"/>
  <c r="H645" i="1"/>
  <c r="H647" i="1"/>
  <c r="H648" i="1"/>
  <c r="H651" i="1"/>
  <c r="H654" i="1"/>
  <c r="H656" i="1"/>
  <c r="H657" i="1"/>
  <c r="H658" i="1"/>
  <c r="H660" i="1"/>
  <c r="H662" i="1"/>
  <c r="H663" i="1"/>
  <c r="H665" i="1"/>
  <c r="H666" i="1"/>
  <c r="H668" i="1"/>
  <c r="H669" i="1"/>
  <c r="H671" i="1"/>
  <c r="H672" i="1"/>
  <c r="H673" i="1"/>
  <c r="H674" i="1"/>
  <c r="H675" i="1"/>
  <c r="H677" i="1"/>
  <c r="H678" i="1"/>
  <c r="H681" i="1"/>
  <c r="H683" i="1"/>
  <c r="H684" i="1"/>
  <c r="H686" i="1"/>
  <c r="H687" i="1"/>
  <c r="H688" i="1"/>
  <c r="H690" i="1"/>
  <c r="H692" i="1"/>
  <c r="H693" i="1"/>
  <c r="H695" i="1"/>
  <c r="H696" i="1"/>
  <c r="H698" i="1"/>
  <c r="H699" i="1"/>
  <c r="H700" i="1"/>
  <c r="H702" i="1"/>
  <c r="H704" i="1"/>
  <c r="H705" i="1"/>
  <c r="H707" i="1"/>
  <c r="H708" i="1"/>
  <c r="H710" i="1"/>
  <c r="H711" i="1"/>
  <c r="H713" i="1"/>
  <c r="H714" i="1"/>
  <c r="H717" i="1"/>
  <c r="H718" i="1"/>
  <c r="H720" i="1"/>
  <c r="H722" i="1"/>
  <c r="H723" i="1"/>
  <c r="H725" i="1"/>
  <c r="H726" i="1"/>
  <c r="H728" i="1"/>
  <c r="H729" i="1"/>
  <c r="H732" i="1"/>
  <c r="H733" i="1"/>
  <c r="H734" i="1"/>
  <c r="H735" i="1"/>
  <c r="H737" i="1"/>
  <c r="H738" i="1"/>
  <c r="H740" i="1"/>
  <c r="H741" i="1"/>
  <c r="H743" i="1"/>
  <c r="H744" i="1"/>
  <c r="H747" i="1"/>
  <c r="H748" i="1"/>
  <c r="H749" i="1"/>
  <c r="H750" i="1"/>
  <c r="H752" i="1"/>
  <c r="H753" i="1"/>
  <c r="H754" i="1"/>
  <c r="H756" i="1"/>
  <c r="H759" i="1"/>
  <c r="H762" i="1"/>
  <c r="H764" i="1"/>
  <c r="H765" i="1"/>
  <c r="H766" i="1"/>
  <c r="H767" i="1"/>
  <c r="H768" i="1"/>
  <c r="H770" i="1"/>
  <c r="H771" i="1"/>
  <c r="H773" i="1"/>
  <c r="H774" i="1"/>
  <c r="H776" i="1"/>
  <c r="H777" i="1"/>
  <c r="H778" i="1"/>
  <c r="H779" i="1"/>
  <c r="H780" i="1"/>
  <c r="H782" i="1"/>
  <c r="H783" i="1"/>
  <c r="H785" i="1"/>
  <c r="H786" i="1"/>
  <c r="H788" i="1"/>
  <c r="H789" i="1"/>
  <c r="H791" i="1"/>
  <c r="H792" i="1"/>
  <c r="H795" i="1"/>
  <c r="H796" i="1"/>
  <c r="H798" i="1"/>
  <c r="H800" i="1"/>
  <c r="H801" i="1"/>
  <c r="H802" i="1"/>
  <c r="H803" i="1"/>
  <c r="H804" i="1"/>
  <c r="H806" i="1"/>
  <c r="H807" i="1"/>
  <c r="H808" i="1"/>
  <c r="H809" i="1"/>
  <c r="H810" i="1"/>
  <c r="H812" i="1"/>
  <c r="H813" i="1"/>
  <c r="H814" i="1"/>
  <c r="H815" i="1"/>
  <c r="H816" i="1"/>
  <c r="H819" i="1"/>
  <c r="H821" i="1"/>
  <c r="H822" i="1"/>
  <c r="H825" i="1"/>
  <c r="H827" i="1"/>
  <c r="H828" i="1"/>
  <c r="H829" i="1"/>
  <c r="H830" i="1"/>
  <c r="H831" i="1"/>
  <c r="H832" i="1"/>
  <c r="H834" i="1"/>
  <c r="H836" i="1"/>
  <c r="H837" i="1"/>
  <c r="H839" i="1"/>
  <c r="H840" i="1"/>
  <c r="H841" i="1"/>
  <c r="H842" i="1"/>
  <c r="H843" i="1"/>
  <c r="H844" i="1"/>
  <c r="H845" i="1"/>
  <c r="H846" i="1"/>
  <c r="H848" i="1"/>
  <c r="H849" i="1"/>
  <c r="H851" i="1"/>
  <c r="H852" i="1"/>
  <c r="H853" i="1"/>
  <c r="H854" i="1"/>
  <c r="H855" i="1"/>
  <c r="H856" i="1"/>
  <c r="H857" i="1"/>
  <c r="H858" i="1"/>
  <c r="H861" i="1"/>
  <c r="H862" i="1"/>
  <c r="H864" i="1"/>
  <c r="H866" i="1"/>
  <c r="H867" i="1"/>
  <c r="H868" i="1"/>
  <c r="H869" i="1"/>
  <c r="H870" i="1"/>
  <c r="H872" i="1"/>
  <c r="H873" i="1"/>
  <c r="H874" i="1"/>
  <c r="H875" i="1"/>
  <c r="H876" i="1"/>
  <c r="H878" i="1"/>
  <c r="H879" i="1"/>
  <c r="H881" i="1"/>
  <c r="H882" i="1"/>
  <c r="H884" i="1"/>
  <c r="H885" i="1"/>
  <c r="H887" i="1"/>
  <c r="H888" i="1"/>
  <c r="H890" i="1"/>
  <c r="H891" i="1"/>
  <c r="H893" i="1"/>
  <c r="H894" i="1"/>
  <c r="H896" i="1"/>
  <c r="H897" i="1"/>
  <c r="H900" i="1"/>
  <c r="H901" i="1"/>
  <c r="H903" i="1"/>
  <c r="H904" i="1"/>
  <c r="H905" i="1"/>
  <c r="H906" i="1"/>
  <c r="H908" i="1"/>
  <c r="H909" i="1"/>
  <c r="H910" i="1"/>
  <c r="H911" i="1"/>
  <c r="H912" i="1"/>
  <c r="H914" i="1"/>
  <c r="H915" i="1"/>
  <c r="H916" i="1"/>
  <c r="H917" i="1"/>
  <c r="H918" i="1"/>
  <c r="H920" i="1"/>
  <c r="H921" i="1"/>
  <c r="H923" i="1"/>
  <c r="H924" i="1"/>
  <c r="H926" i="1"/>
  <c r="H927" i="1"/>
  <c r="H929" i="1"/>
  <c r="H930" i="1"/>
  <c r="H932" i="1"/>
  <c r="H933" i="1"/>
  <c r="H934" i="1"/>
  <c r="H935" i="1"/>
  <c r="H936" i="1"/>
  <c r="H937" i="1"/>
  <c r="H939" i="1"/>
  <c r="H940" i="1"/>
  <c r="H942" i="1"/>
  <c r="H944" i="1"/>
  <c r="H945" i="1"/>
  <c r="H946" i="1"/>
  <c r="H947" i="1"/>
  <c r="H948" i="1"/>
  <c r="H949" i="1"/>
  <c r="H950" i="1"/>
  <c r="H951" i="1"/>
  <c r="H952" i="1"/>
  <c r="H953" i="1"/>
  <c r="H954" i="1"/>
  <c r="H956" i="1"/>
  <c r="H957" i="1"/>
  <c r="H958" i="1"/>
  <c r="H959" i="1"/>
  <c r="H960" i="1"/>
  <c r="H961" i="1"/>
  <c r="H962" i="1"/>
  <c r="H963" i="1"/>
  <c r="H965" i="1"/>
  <c r="H966" i="1"/>
  <c r="H969" i="1"/>
  <c r="H970" i="1"/>
  <c r="H971" i="1"/>
  <c r="H972" i="1"/>
  <c r="H973" i="1"/>
  <c r="H974" i="1"/>
  <c r="H975" i="1"/>
  <c r="H976" i="1"/>
  <c r="H978" i="1"/>
  <c r="H980" i="1"/>
  <c r="H981" i="1"/>
  <c r="H982" i="1"/>
  <c r="H983" i="1"/>
  <c r="H984" i="1"/>
  <c r="H985" i="1"/>
  <c r="H986" i="1"/>
  <c r="H987" i="1"/>
  <c r="H988" i="1"/>
  <c r="H989" i="1"/>
  <c r="H990" i="1"/>
  <c r="H992" i="1"/>
  <c r="H993" i="1"/>
  <c r="H995" i="1"/>
  <c r="H996" i="1"/>
  <c r="H997" i="1"/>
  <c r="H998" i="1"/>
  <c r="H999" i="1"/>
  <c r="H1000" i="1"/>
  <c r="H1001" i="1"/>
  <c r="H1002" i="1"/>
  <c r="H1005" i="1"/>
  <c r="H1006" i="1"/>
  <c r="H1008" i="1"/>
  <c r="H1009" i="1"/>
  <c r="H1010" i="1"/>
  <c r="H1011" i="1"/>
  <c r="H1012" i="1"/>
  <c r="H1013" i="1"/>
  <c r="H1014" i="1"/>
  <c r="H1016" i="1"/>
  <c r="H1017" i="1"/>
  <c r="H1018" i="1"/>
  <c r="H1019" i="1"/>
  <c r="H1020" i="1"/>
  <c r="H1021" i="1"/>
  <c r="H1022" i="1"/>
  <c r="H1023" i="1"/>
  <c r="H1024" i="1"/>
  <c r="H1025" i="1"/>
  <c r="H1026" i="1"/>
  <c r="H1028" i="1"/>
  <c r="H1029" i="1"/>
  <c r="H1031" i="1"/>
  <c r="H1032" i="1"/>
  <c r="H1034" i="1"/>
  <c r="H1035" i="1"/>
  <c r="H1036" i="1"/>
  <c r="H1037" i="1"/>
  <c r="H1038" i="1"/>
  <c r="H1040" i="1"/>
  <c r="H1041" i="1"/>
  <c r="H1042" i="1"/>
  <c r="H1044" i="1"/>
  <c r="H1045" i="1"/>
  <c r="H1047" i="1"/>
  <c r="H1048" i="1"/>
  <c r="H1049" i="1"/>
  <c r="H1050" i="1"/>
  <c r="H1052" i="1"/>
  <c r="H1053" i="1"/>
  <c r="H1054" i="1"/>
  <c r="H1055" i="1"/>
  <c r="H1056" i="1"/>
  <c r="H1057" i="1"/>
  <c r="H1058" i="1"/>
  <c r="H1059" i="1"/>
  <c r="H1060" i="1"/>
  <c r="H1061" i="1"/>
  <c r="H1062" i="1"/>
  <c r="H1064" i="1"/>
  <c r="H1065" i="1"/>
  <c r="H1066" i="1"/>
  <c r="H1067" i="1"/>
  <c r="H1068" i="1"/>
  <c r="H1070" i="1"/>
  <c r="H1071" i="1"/>
  <c r="H1072" i="1"/>
  <c r="H1073" i="1"/>
  <c r="H1074" i="1"/>
  <c r="H1076" i="1"/>
  <c r="H1077" i="1"/>
  <c r="H1078" i="1"/>
  <c r="H1079" i="1"/>
  <c r="H1080" i="1"/>
  <c r="H1081" i="1"/>
  <c r="H1083" i="1"/>
  <c r="H1084" i="1"/>
  <c r="H1085" i="1"/>
  <c r="H1086" i="1"/>
  <c r="H1088" i="1"/>
  <c r="H1089" i="1"/>
  <c r="H1090" i="1"/>
  <c r="H1091" i="1"/>
  <c r="H1092" i="1"/>
  <c r="H1093" i="1"/>
  <c r="H1094" i="1"/>
  <c r="H1095" i="1"/>
  <c r="H1096" i="1"/>
  <c r="H1097" i="1"/>
  <c r="H1098" i="1"/>
  <c r="H1100" i="1"/>
  <c r="H1101" i="1"/>
  <c r="H1102" i="1"/>
  <c r="H1103" i="1"/>
  <c r="H1104" i="1"/>
  <c r="H1105" i="1"/>
  <c r="H1106" i="1"/>
  <c r="H1107" i="1"/>
  <c r="H1109" i="1"/>
  <c r="H1110" i="1"/>
  <c r="H1112" i="1"/>
  <c r="H1113" i="1"/>
  <c r="H1114" i="1"/>
  <c r="H1115" i="1"/>
  <c r="H1116" i="1"/>
  <c r="H1117" i="1"/>
  <c r="H1118" i="1"/>
  <c r="H1119" i="1"/>
  <c r="H1120" i="1"/>
  <c r="H1122" i="1"/>
  <c r="H1124" i="1"/>
  <c r="H1125" i="1"/>
  <c r="H1126" i="1"/>
  <c r="H1127" i="1"/>
  <c r="H1128" i="1"/>
  <c r="H1129" i="1"/>
  <c r="H1130" i="1"/>
  <c r="H1131" i="1"/>
  <c r="H1132" i="1"/>
  <c r="H1133" i="1"/>
  <c r="H1134" i="1"/>
  <c r="H1136" i="1"/>
  <c r="H1137" i="1"/>
  <c r="H1138" i="1"/>
  <c r="H1139" i="1"/>
  <c r="H1140" i="1"/>
  <c r="H1141" i="1"/>
  <c r="H1142" i="1"/>
  <c r="H1143" i="1"/>
  <c r="H1144" i="1"/>
  <c r="H1145" i="1"/>
  <c r="H1146" i="1"/>
  <c r="H1149" i="1"/>
  <c r="H1150" i="1"/>
  <c r="H1151" i="1"/>
  <c r="H1152" i="1"/>
  <c r="H1153" i="1"/>
  <c r="H1154" i="1"/>
  <c r="H1155" i="1"/>
  <c r="H1156" i="1"/>
  <c r="H1157" i="1"/>
  <c r="H1158" i="1"/>
  <c r="H1160" i="1"/>
  <c r="H1161" i="1"/>
  <c r="H1162" i="1"/>
  <c r="H1163" i="1"/>
  <c r="H1164" i="1"/>
  <c r="H1165" i="1"/>
  <c r="H1166" i="1"/>
  <c r="H1167" i="1"/>
  <c r="H1168" i="1"/>
  <c r="H1169" i="1"/>
  <c r="H1170" i="1"/>
  <c r="H1172" i="1"/>
  <c r="H1173" i="1"/>
  <c r="H1175" i="1"/>
  <c r="H1176" i="1"/>
  <c r="H1177" i="1"/>
  <c r="H1178" i="1"/>
  <c r="H1179" i="1"/>
  <c r="H1180" i="1"/>
  <c r="H1181" i="1"/>
  <c r="H1182" i="1"/>
  <c r="H1184" i="1"/>
  <c r="H1185" i="1"/>
  <c r="H1186" i="1"/>
  <c r="H1188" i="1"/>
  <c r="H1189" i="1"/>
  <c r="H1190" i="1"/>
  <c r="H1191" i="1"/>
  <c r="H1192" i="1"/>
  <c r="H1193" i="1"/>
  <c r="H1194" i="1"/>
  <c r="H1196" i="1"/>
  <c r="H1197" i="1"/>
  <c r="H1198" i="1"/>
  <c r="H1199" i="1"/>
  <c r="H1200" i="1"/>
  <c r="H1201" i="1"/>
  <c r="H1202" i="1"/>
  <c r="H1203" i="1"/>
  <c r="H1204" i="1"/>
  <c r="H1205" i="1"/>
  <c r="H1206" i="1"/>
  <c r="H1208" i="1"/>
  <c r="H1209" i="1"/>
  <c r="H1210" i="1"/>
  <c r="H1211" i="1"/>
  <c r="H1212" i="1"/>
  <c r="H1214" i="1"/>
  <c r="H1215" i="1"/>
  <c r="H1216" i="1"/>
  <c r="H1217" i="1"/>
  <c r="H1218" i="1"/>
  <c r="H1220" i="1"/>
  <c r="H1221" i="1"/>
  <c r="H1222" i="1"/>
  <c r="H1223" i="1"/>
  <c r="H1224" i="1"/>
  <c r="H1225" i="1"/>
  <c r="H1227" i="1"/>
  <c r="H1228" i="1"/>
  <c r="H1229" i="1"/>
  <c r="H1230" i="1"/>
  <c r="H1232" i="1"/>
  <c r="H1233" i="1"/>
  <c r="H1234" i="1"/>
  <c r="H1235" i="1"/>
  <c r="H1236" i="1"/>
  <c r="H1237" i="1"/>
  <c r="H1238" i="1"/>
  <c r="H1239" i="1"/>
  <c r="H1240" i="1"/>
  <c r="H1241" i="1"/>
  <c r="H1242" i="1"/>
  <c r="H1244" i="1"/>
  <c r="H1245" i="1"/>
  <c r="H1246" i="1"/>
  <c r="H1247" i="1"/>
  <c r="H1248" i="1"/>
  <c r="H1249" i="1"/>
  <c r="H1250" i="1"/>
  <c r="H1251" i="1"/>
  <c r="H1253" i="1"/>
  <c r="H1254" i="1"/>
  <c r="H1256" i="1"/>
  <c r="H1257" i="1"/>
  <c r="H1258" i="1"/>
  <c r="H1259" i="1"/>
  <c r="H1260" i="1"/>
  <c r="H1261" i="1"/>
  <c r="H1262" i="1"/>
  <c r="H1263" i="1"/>
  <c r="H1264" i="1"/>
  <c r="H1266" i="1"/>
  <c r="H1268" i="1"/>
  <c r="H1269" i="1"/>
  <c r="H1270" i="1"/>
  <c r="H1271" i="1"/>
  <c r="H1272" i="1"/>
  <c r="H1273" i="1"/>
  <c r="H1274" i="1"/>
  <c r="H1275" i="1"/>
  <c r="H1276" i="1"/>
  <c r="H1277" i="1"/>
  <c r="H1278" i="1"/>
  <c r="H1280" i="1"/>
  <c r="H1281" i="1"/>
  <c r="H1282" i="1"/>
  <c r="H1283" i="1"/>
  <c r="H1284" i="1"/>
  <c r="H1285" i="1"/>
  <c r="H1286" i="1"/>
  <c r="H1287" i="1"/>
  <c r="H1288" i="1"/>
  <c r="H1289" i="1"/>
  <c r="H1290" i="1"/>
  <c r="H1293" i="1"/>
  <c r="H1294" i="1"/>
  <c r="H1295" i="1"/>
  <c r="H1296" i="1"/>
  <c r="H1297" i="1"/>
  <c r="H1298" i="1"/>
  <c r="H1299" i="1"/>
  <c r="H1300" i="1"/>
  <c r="H1301" i="1"/>
  <c r="H1302" i="1"/>
  <c r="H1304" i="1"/>
  <c r="H1305" i="1"/>
  <c r="H1306" i="1"/>
  <c r="H1307" i="1"/>
  <c r="H1308" i="1"/>
  <c r="H1309" i="1"/>
  <c r="H1310" i="1"/>
  <c r="H1311" i="1"/>
  <c r="H1312" i="1"/>
  <c r="H1313" i="1"/>
  <c r="H1314" i="1"/>
  <c r="H1316" i="1"/>
  <c r="H1317" i="1"/>
  <c r="H1319" i="1"/>
  <c r="H1320" i="1"/>
  <c r="H1321" i="1"/>
  <c r="H1322" i="1"/>
  <c r="H1323" i="1"/>
  <c r="H1324" i="1"/>
  <c r="H1325" i="1"/>
  <c r="H1326" i="1"/>
  <c r="H1328" i="1"/>
  <c r="H1329" i="1"/>
  <c r="H1330" i="1"/>
  <c r="H1332" i="1"/>
  <c r="H1333" i="1"/>
  <c r="H1334" i="1"/>
  <c r="H1335" i="1"/>
  <c r="H1336" i="1"/>
  <c r="H1337" i="1"/>
  <c r="H1338" i="1"/>
  <c r="H1340" i="1"/>
  <c r="H1341" i="1"/>
  <c r="H1342" i="1"/>
  <c r="H1343" i="1"/>
  <c r="H1344" i="1"/>
  <c r="H1345" i="1"/>
  <c r="H1346" i="1"/>
  <c r="H1347" i="1"/>
  <c r="H1348" i="1"/>
  <c r="H1349" i="1"/>
  <c r="H1350" i="1"/>
  <c r="H1352" i="1"/>
  <c r="H1353" i="1"/>
  <c r="H1354" i="1"/>
  <c r="H1355" i="1"/>
  <c r="H1356" i="1"/>
  <c r="H1358" i="1"/>
  <c r="H1359" i="1"/>
  <c r="H1360" i="1"/>
  <c r="H1361" i="1"/>
  <c r="H1362" i="1"/>
  <c r="H1364" i="1"/>
  <c r="H1365" i="1"/>
  <c r="H1366" i="1"/>
  <c r="H1367" i="1"/>
  <c r="H1368" i="1"/>
  <c r="H1369" i="1"/>
  <c r="H1371" i="1"/>
  <c r="H1372" i="1"/>
  <c r="H1373" i="1"/>
  <c r="H1374" i="1"/>
  <c r="H1376" i="1"/>
  <c r="H1377" i="1"/>
  <c r="H1378" i="1"/>
  <c r="H1379" i="1"/>
  <c r="H1380" i="1"/>
  <c r="H1381" i="1"/>
  <c r="H1382" i="1"/>
  <c r="H1383" i="1"/>
  <c r="H1384" i="1"/>
  <c r="H1385" i="1"/>
  <c r="H1386" i="1"/>
  <c r="H1388" i="1"/>
  <c r="H1389" i="1"/>
  <c r="H1390" i="1"/>
  <c r="H1391" i="1"/>
  <c r="H1392" i="1"/>
  <c r="H1393" i="1"/>
  <c r="H1394" i="1"/>
  <c r="H1395" i="1"/>
  <c r="H1397" i="1"/>
  <c r="H1398" i="1"/>
  <c r="H1400" i="1"/>
  <c r="H1401" i="1"/>
  <c r="H1402" i="1"/>
  <c r="H1403" i="1"/>
  <c r="H1404" i="1"/>
  <c r="H1405" i="1"/>
  <c r="H1406" i="1"/>
  <c r="H1407" i="1"/>
  <c r="H1408" i="1"/>
  <c r="H1410" i="1"/>
  <c r="H1412" i="1"/>
  <c r="H1413" i="1"/>
  <c r="H1414" i="1"/>
  <c r="H1415" i="1"/>
  <c r="H1416" i="1"/>
  <c r="H1417" i="1"/>
  <c r="H1418" i="1"/>
  <c r="H1419" i="1"/>
  <c r="H1420" i="1"/>
  <c r="H1421" i="1"/>
  <c r="H1422" i="1"/>
  <c r="H1424" i="1"/>
  <c r="H1425" i="1"/>
  <c r="H1426" i="1"/>
  <c r="H1427" i="1"/>
  <c r="H1428" i="1"/>
  <c r="H1429" i="1"/>
  <c r="H1430" i="1"/>
  <c r="H1431" i="1"/>
  <c r="H1432" i="1"/>
  <c r="H1433" i="1"/>
  <c r="H1434" i="1"/>
  <c r="H1437" i="1"/>
  <c r="H1438" i="1"/>
  <c r="H1439" i="1"/>
  <c r="H1440" i="1"/>
  <c r="H1441" i="1"/>
  <c r="H1442" i="1"/>
  <c r="H1443" i="1"/>
  <c r="H1444" i="1"/>
  <c r="H1445" i="1"/>
  <c r="H1446" i="1"/>
  <c r="H1448" i="1"/>
  <c r="H1449" i="1"/>
  <c r="H1450" i="1"/>
  <c r="H1451" i="1"/>
  <c r="H1452" i="1"/>
  <c r="H1453" i="1"/>
  <c r="H1454" i="1"/>
  <c r="H1455" i="1"/>
  <c r="H1456" i="1"/>
  <c r="H1457" i="1"/>
  <c r="H1458" i="1"/>
  <c r="H1460" i="1"/>
  <c r="H1461" i="1"/>
  <c r="H1463" i="1"/>
  <c r="H1464" i="1"/>
  <c r="H1465" i="1"/>
  <c r="H1466" i="1"/>
  <c r="H1467" i="1"/>
  <c r="H1468" i="1"/>
  <c r="H1469" i="1"/>
  <c r="H1470" i="1"/>
  <c r="H1472" i="1"/>
  <c r="H1473" i="1"/>
  <c r="H1474" i="1"/>
  <c r="H1476" i="1"/>
  <c r="H1477" i="1"/>
  <c r="H1478" i="1"/>
  <c r="H1479" i="1"/>
  <c r="H1480" i="1"/>
  <c r="H1481" i="1"/>
  <c r="H1482" i="1"/>
  <c r="H1484" i="1"/>
  <c r="H1485" i="1"/>
  <c r="H1486" i="1"/>
  <c r="H1487" i="1"/>
  <c r="H1488" i="1"/>
  <c r="H1489" i="1"/>
  <c r="H1490" i="1"/>
  <c r="H1491" i="1"/>
  <c r="H1492" i="1"/>
  <c r="H1493" i="1"/>
  <c r="H1494" i="1"/>
  <c r="H1496" i="1"/>
  <c r="H1497" i="1"/>
  <c r="H1498" i="1"/>
  <c r="H1499" i="1"/>
  <c r="H1500" i="1"/>
  <c r="H2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A11" i="3"/>
  <c r="H11" i="3" s="1"/>
  <c r="A12" i="3"/>
  <c r="H12" i="3" s="1"/>
  <c r="A13" i="3"/>
  <c r="H13" i="3" s="1"/>
  <c r="A14" i="3"/>
  <c r="H14" i="3" s="1"/>
  <c r="A15" i="3"/>
  <c r="H15" i="3" s="1"/>
  <c r="A16" i="3"/>
  <c r="H16" i="3" s="1"/>
  <c r="A17" i="3"/>
  <c r="H17" i="3" s="1"/>
  <c r="A18" i="3"/>
  <c r="H18" i="3" s="1"/>
  <c r="A19" i="3"/>
  <c r="H19" i="3" s="1"/>
  <c r="A20" i="3"/>
  <c r="H20" i="3" s="1"/>
  <c r="A21" i="3"/>
  <c r="H21" i="3" s="1"/>
  <c r="A22" i="3"/>
  <c r="H22" i="3" s="1"/>
  <c r="A23" i="3"/>
  <c r="H23" i="3" s="1"/>
  <c r="A24" i="3"/>
  <c r="H24" i="3" s="1"/>
  <c r="A25" i="3"/>
  <c r="H25" i="3" s="1"/>
  <c r="A26" i="3"/>
  <c r="H26" i="3" s="1"/>
  <c r="A27" i="3"/>
  <c r="H27" i="3" s="1"/>
  <c r="A28" i="3"/>
  <c r="H28" i="3" s="1"/>
  <c r="A29" i="3"/>
  <c r="H29" i="3" s="1"/>
  <c r="A30" i="3"/>
  <c r="H30" i="3" s="1"/>
  <c r="A31" i="3"/>
  <c r="H31" i="3" s="1"/>
  <c r="A32" i="3"/>
  <c r="H32" i="3" s="1"/>
  <c r="A33" i="3"/>
  <c r="H33" i="3" s="1"/>
  <c r="A34" i="3"/>
  <c r="H34" i="3" s="1"/>
  <c r="A35" i="3"/>
  <c r="H35" i="3" s="1"/>
  <c r="A36" i="3"/>
  <c r="H36" i="3" s="1"/>
  <c r="A37" i="3"/>
  <c r="H37" i="3" s="1"/>
  <c r="A38" i="3"/>
  <c r="H38" i="3" s="1"/>
  <c r="A39" i="3"/>
  <c r="H39" i="3" s="1"/>
  <c r="A40" i="3"/>
  <c r="H40" i="3" s="1"/>
  <c r="A41" i="3"/>
  <c r="H41" i="3" s="1"/>
  <c r="A42" i="3"/>
  <c r="H42" i="3" s="1"/>
  <c r="A43" i="3"/>
  <c r="H43" i="3" s="1"/>
  <c r="A44" i="3"/>
  <c r="H44" i="3" s="1"/>
  <c r="A45" i="3"/>
  <c r="H45" i="3" s="1"/>
  <c r="A46" i="3"/>
  <c r="H46" i="3" s="1"/>
  <c r="A47" i="3"/>
  <c r="H47" i="3" s="1"/>
  <c r="A48" i="3"/>
  <c r="H48" i="3" s="1"/>
  <c r="A49" i="3"/>
  <c r="H49" i="3" s="1"/>
  <c r="A50" i="3"/>
  <c r="H50" i="3" s="1"/>
  <c r="A51" i="3"/>
  <c r="H51" i="3" s="1"/>
  <c r="A52" i="3"/>
  <c r="H52" i="3" s="1"/>
  <c r="A53" i="3"/>
  <c r="H53" i="3" s="1"/>
  <c r="A54" i="3"/>
  <c r="H54" i="3" s="1"/>
  <c r="A55" i="3"/>
  <c r="H55" i="3" s="1"/>
  <c r="A56" i="3"/>
  <c r="H56" i="3" s="1"/>
  <c r="A57" i="3"/>
  <c r="H57" i="3" s="1"/>
  <c r="A58" i="3"/>
  <c r="H58" i="3" s="1"/>
  <c r="A59" i="3"/>
  <c r="H59" i="3" s="1"/>
  <c r="A60" i="3"/>
  <c r="H60" i="3" s="1"/>
  <c r="A61" i="3"/>
  <c r="H61" i="3" s="1"/>
  <c r="A62" i="3"/>
  <c r="H62" i="3" s="1"/>
  <c r="A63" i="3"/>
  <c r="H63" i="3" s="1"/>
  <c r="A64" i="3"/>
  <c r="H64" i="3" s="1"/>
  <c r="A65" i="3"/>
  <c r="H65" i="3" s="1"/>
  <c r="A66" i="3"/>
  <c r="H66" i="3" s="1"/>
  <c r="A67" i="3"/>
  <c r="H67" i="3" s="1"/>
  <c r="A68" i="3"/>
  <c r="H68" i="3" s="1"/>
  <c r="A69" i="3"/>
  <c r="H69" i="3" s="1"/>
  <c r="A70" i="3"/>
  <c r="H70" i="3" s="1"/>
  <c r="A71" i="3"/>
  <c r="H71" i="3" s="1"/>
  <c r="A10" i="3"/>
  <c r="H10" i="3" s="1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F104" i="9" l="1"/>
  <c r="I198" i="3"/>
  <c r="J198" i="3" s="1"/>
  <c r="F52" i="9"/>
  <c r="I52" i="9" s="1"/>
  <c r="F125" i="9"/>
  <c r="I125" i="9" s="1"/>
  <c r="A32" i="9"/>
  <c r="D32" i="9" s="1"/>
  <c r="F100" i="9"/>
  <c r="H100" i="9" s="1"/>
  <c r="J8" i="3"/>
  <c r="I58" i="3"/>
  <c r="J58" i="3" s="1"/>
  <c r="I133" i="3"/>
  <c r="K133" i="3" s="1"/>
  <c r="I157" i="3"/>
  <c r="I63" i="3"/>
  <c r="J63" i="3" s="1"/>
  <c r="I34" i="3"/>
  <c r="I124" i="3"/>
  <c r="K124" i="3" s="1"/>
  <c r="I205" i="3"/>
  <c r="I178" i="3"/>
  <c r="J178" i="3" s="1"/>
  <c r="I95" i="3"/>
  <c r="K95" i="3" s="1"/>
  <c r="I194" i="3"/>
  <c r="I196" i="3"/>
  <c r="I40" i="3"/>
  <c r="I131" i="3"/>
  <c r="J131" i="3" s="1"/>
  <c r="I164" i="3"/>
  <c r="J164" i="3" s="1"/>
  <c r="I59" i="3"/>
  <c r="I137" i="3"/>
  <c r="J137" i="3" s="1"/>
  <c r="I70" i="3"/>
  <c r="J70" i="3" s="1"/>
  <c r="I159" i="3"/>
  <c r="J159" i="3" s="1"/>
  <c r="I87" i="3"/>
  <c r="K87" i="3" s="1"/>
  <c r="I162" i="3"/>
  <c r="K162" i="3" s="1"/>
  <c r="I91" i="3"/>
  <c r="J91" i="3" s="1"/>
  <c r="I171" i="3"/>
  <c r="J171" i="3" s="1"/>
  <c r="K8" i="3"/>
  <c r="I11" i="3"/>
  <c r="J11" i="3" s="1"/>
  <c r="I93" i="3"/>
  <c r="K93" i="3" s="1"/>
  <c r="I188" i="3"/>
  <c r="K188" i="3" s="1"/>
  <c r="I28" i="3"/>
  <c r="I16" i="3"/>
  <c r="K16" i="3" s="1"/>
  <c r="I104" i="3"/>
  <c r="J104" i="3" s="1"/>
  <c r="J95" i="3"/>
  <c r="I33" i="3"/>
  <c r="K33" i="3" s="1"/>
  <c r="I109" i="3"/>
  <c r="J109" i="3" s="1"/>
  <c r="K194" i="3"/>
  <c r="K198" i="3"/>
  <c r="K205" i="3"/>
  <c r="J157" i="3"/>
  <c r="J34" i="3"/>
  <c r="K157" i="3"/>
  <c r="K59" i="3"/>
  <c r="J59" i="3"/>
  <c r="J205" i="3"/>
  <c r="K40" i="3"/>
  <c r="K34" i="3"/>
  <c r="J194" i="3"/>
  <c r="K28" i="3"/>
  <c r="K196" i="3"/>
  <c r="H7" i="1"/>
  <c r="K7" i="1"/>
  <c r="H19" i="1"/>
  <c r="K19" i="1"/>
  <c r="H22" i="1"/>
  <c r="K22" i="1"/>
  <c r="H25" i="1"/>
  <c r="K25" i="1"/>
  <c r="H34" i="1"/>
  <c r="K34" i="1"/>
  <c r="H43" i="1"/>
  <c r="K43" i="1"/>
  <c r="H55" i="1"/>
  <c r="K55" i="1"/>
  <c r="H61" i="1"/>
  <c r="K61" i="1"/>
  <c r="H64" i="1"/>
  <c r="K64" i="1"/>
  <c r="H67" i="1"/>
  <c r="K67" i="1"/>
  <c r="K76" i="1"/>
  <c r="H76" i="1"/>
  <c r="K82" i="1"/>
  <c r="H82" i="1"/>
  <c r="H91" i="1"/>
  <c r="K91" i="1"/>
  <c r="H100" i="1"/>
  <c r="K100" i="1"/>
  <c r="H103" i="1"/>
  <c r="K103" i="1"/>
  <c r="K106" i="1"/>
  <c r="H106" i="1"/>
  <c r="H115" i="1"/>
  <c r="K115" i="1"/>
  <c r="K121" i="1"/>
  <c r="H121" i="1"/>
  <c r="K124" i="1"/>
  <c r="H124" i="1"/>
  <c r="H130" i="1"/>
  <c r="K130" i="1"/>
  <c r="H139" i="1"/>
  <c r="K139" i="1"/>
  <c r="H151" i="1"/>
  <c r="K151" i="1"/>
  <c r="H163" i="1"/>
  <c r="K163" i="1"/>
  <c r="H169" i="1"/>
  <c r="K169" i="1"/>
  <c r="H175" i="1"/>
  <c r="K175" i="1"/>
  <c r="K178" i="1"/>
  <c r="H178" i="1"/>
  <c r="H184" i="1"/>
  <c r="K184" i="1"/>
  <c r="H187" i="1"/>
  <c r="K187" i="1"/>
  <c r="K190" i="1"/>
  <c r="H190" i="1"/>
  <c r="K193" i="1"/>
  <c r="H193" i="1"/>
  <c r="K205" i="1"/>
  <c r="H205" i="1"/>
  <c r="H208" i="1"/>
  <c r="K208" i="1"/>
  <c r="H223" i="1"/>
  <c r="K223" i="1"/>
  <c r="H235" i="1"/>
  <c r="K235" i="1"/>
  <c r="H244" i="1"/>
  <c r="K244" i="1"/>
  <c r="H247" i="1"/>
  <c r="K247" i="1"/>
  <c r="H259" i="1"/>
  <c r="K259" i="1"/>
  <c r="H271" i="1"/>
  <c r="K271" i="1"/>
  <c r="K274" i="1"/>
  <c r="H274" i="1"/>
  <c r="K277" i="1"/>
  <c r="H277" i="1"/>
  <c r="H283" i="1"/>
  <c r="K283" i="1"/>
  <c r="K292" i="1"/>
  <c r="H292" i="1"/>
  <c r="H295" i="1"/>
  <c r="K295" i="1"/>
  <c r="H307" i="1"/>
  <c r="K307" i="1"/>
  <c r="H310" i="1"/>
  <c r="K310" i="1"/>
  <c r="H313" i="1"/>
  <c r="K313" i="1"/>
  <c r="H331" i="1"/>
  <c r="K331" i="1"/>
  <c r="H343" i="1"/>
  <c r="K343" i="1"/>
  <c r="H349" i="1"/>
  <c r="K349" i="1"/>
  <c r="H352" i="1"/>
  <c r="K352" i="1"/>
  <c r="H355" i="1"/>
  <c r="K355" i="1"/>
  <c r="H367" i="1"/>
  <c r="K367" i="1"/>
  <c r="H379" i="1"/>
  <c r="K379" i="1"/>
  <c r="H388" i="1"/>
  <c r="K388" i="1"/>
  <c r="H391" i="1"/>
  <c r="K391" i="1"/>
  <c r="H403" i="1"/>
  <c r="K403" i="1"/>
  <c r="K409" i="1"/>
  <c r="H409" i="1"/>
  <c r="H415" i="1"/>
  <c r="K415" i="1"/>
  <c r="H418" i="1"/>
  <c r="K418" i="1"/>
  <c r="H427" i="1"/>
  <c r="K427" i="1"/>
  <c r="H439" i="1"/>
  <c r="K439" i="1"/>
  <c r="H451" i="1"/>
  <c r="K451" i="1"/>
  <c r="H454" i="1"/>
  <c r="K454" i="1"/>
  <c r="H457" i="1"/>
  <c r="K457" i="1"/>
  <c r="H463" i="1"/>
  <c r="K463" i="1"/>
  <c r="H487" i="1"/>
  <c r="K487" i="1"/>
  <c r="H493" i="1"/>
  <c r="K493" i="1"/>
  <c r="H496" i="1"/>
  <c r="K496" i="1"/>
  <c r="H499" i="1"/>
  <c r="K499" i="1"/>
  <c r="H511" i="1"/>
  <c r="K511" i="1"/>
  <c r="H523" i="1"/>
  <c r="K523" i="1"/>
  <c r="K526" i="1"/>
  <c r="H526" i="1"/>
  <c r="H535" i="1"/>
  <c r="K535" i="1"/>
  <c r="H559" i="1"/>
  <c r="K559" i="1"/>
  <c r="H562" i="1"/>
  <c r="K562" i="1"/>
  <c r="H571" i="1"/>
  <c r="K571" i="1"/>
  <c r="H583" i="1"/>
  <c r="K583" i="1"/>
  <c r="H598" i="1"/>
  <c r="K598" i="1"/>
  <c r="H601" i="1"/>
  <c r="K601" i="1"/>
  <c r="H607" i="1"/>
  <c r="K607" i="1"/>
  <c r="H619" i="1"/>
  <c r="K619" i="1"/>
  <c r="H631" i="1"/>
  <c r="K631" i="1"/>
  <c r="H637" i="1"/>
  <c r="K637" i="1"/>
  <c r="H640" i="1"/>
  <c r="K640" i="1"/>
  <c r="H643" i="1"/>
  <c r="K643" i="1"/>
  <c r="H655" i="1"/>
  <c r="K655" i="1"/>
  <c r="H676" i="1"/>
  <c r="K676" i="1"/>
  <c r="H679" i="1"/>
  <c r="K679" i="1"/>
  <c r="H703" i="1"/>
  <c r="K703" i="1"/>
  <c r="H706" i="1"/>
  <c r="K706" i="1"/>
  <c r="H715" i="1"/>
  <c r="K715" i="1"/>
  <c r="H727" i="1"/>
  <c r="K727" i="1"/>
  <c r="H742" i="1"/>
  <c r="K742" i="1"/>
  <c r="H745" i="1"/>
  <c r="K745" i="1"/>
  <c r="H751" i="1"/>
  <c r="K751" i="1"/>
  <c r="H763" i="1"/>
  <c r="K763" i="1"/>
  <c r="H775" i="1"/>
  <c r="K775" i="1"/>
  <c r="H784" i="1"/>
  <c r="K784" i="1"/>
  <c r="H787" i="1"/>
  <c r="K787" i="1"/>
  <c r="K790" i="1"/>
  <c r="H790" i="1"/>
  <c r="H799" i="1"/>
  <c r="K799" i="1"/>
  <c r="K805" i="1"/>
  <c r="H805" i="1"/>
  <c r="H811" i="1"/>
  <c r="K811" i="1"/>
  <c r="H820" i="1"/>
  <c r="K820" i="1"/>
  <c r="H823" i="1"/>
  <c r="K823" i="1"/>
  <c r="H835" i="1"/>
  <c r="K835" i="1"/>
  <c r="H847" i="1"/>
  <c r="K847" i="1"/>
  <c r="H850" i="1"/>
  <c r="K850" i="1"/>
  <c r="H859" i="1"/>
  <c r="K859" i="1"/>
  <c r="H871" i="1"/>
  <c r="K871" i="1"/>
  <c r="H883" i="1"/>
  <c r="K883" i="1"/>
  <c r="H886" i="1"/>
  <c r="K886" i="1"/>
  <c r="H895" i="1"/>
  <c r="K895" i="1"/>
  <c r="H907" i="1"/>
  <c r="K907" i="1"/>
  <c r="H919" i="1"/>
  <c r="K919" i="1"/>
  <c r="H931" i="1"/>
  <c r="K931" i="1"/>
  <c r="H943" i="1"/>
  <c r="K943" i="1"/>
  <c r="H955" i="1"/>
  <c r="K955" i="1"/>
  <c r="H964" i="1"/>
  <c r="K964" i="1"/>
  <c r="H967" i="1"/>
  <c r="K967" i="1"/>
  <c r="H991" i="1"/>
  <c r="K991" i="1"/>
  <c r="H1003" i="1"/>
  <c r="K1003" i="1"/>
  <c r="H1015" i="1"/>
  <c r="K1015" i="1"/>
  <c r="H1027" i="1"/>
  <c r="K1027" i="1"/>
  <c r="H1030" i="1"/>
  <c r="K1030" i="1"/>
  <c r="H1033" i="1"/>
  <c r="K1033" i="1"/>
  <c r="H1039" i="1"/>
  <c r="K1039" i="1"/>
  <c r="H1051" i="1"/>
  <c r="K1051" i="1"/>
  <c r="H1063" i="1"/>
  <c r="K1063" i="1"/>
  <c r="H1087" i="1"/>
  <c r="K1087" i="1"/>
  <c r="H1099" i="1"/>
  <c r="K1099" i="1"/>
  <c r="H1108" i="1"/>
  <c r="K1108" i="1"/>
  <c r="H1123" i="1"/>
  <c r="K1123" i="1"/>
  <c r="H1135" i="1"/>
  <c r="K1135" i="1"/>
  <c r="H1147" i="1"/>
  <c r="K1147" i="1"/>
  <c r="H1159" i="1"/>
  <c r="K1159" i="1"/>
  <c r="H1171" i="1"/>
  <c r="K1171" i="1"/>
  <c r="H1174" i="1"/>
  <c r="K1174" i="1"/>
  <c r="H1207" i="1"/>
  <c r="K1207" i="1"/>
  <c r="H364" i="1"/>
  <c r="H334" i="1"/>
  <c r="H226" i="1"/>
  <c r="H116" i="1"/>
  <c r="H94" i="1"/>
  <c r="K781" i="1"/>
  <c r="K709" i="1"/>
  <c r="K569" i="1"/>
  <c r="K541" i="1"/>
  <c r="K157" i="1"/>
  <c r="A56" i="9"/>
  <c r="H592" i="1"/>
  <c r="H517" i="1"/>
  <c r="H502" i="1"/>
  <c r="H424" i="1"/>
  <c r="H394" i="1"/>
  <c r="H346" i="1"/>
  <c r="H301" i="1"/>
  <c r="H286" i="1"/>
  <c r="H133" i="1"/>
  <c r="H73" i="1"/>
  <c r="H52" i="1"/>
  <c r="H10" i="1"/>
  <c r="K358" i="1"/>
  <c r="K53" i="1"/>
  <c r="F63" i="9"/>
  <c r="H913" i="1"/>
  <c r="H898" i="1"/>
  <c r="H826" i="1"/>
  <c r="H793" i="1"/>
  <c r="H730" i="1"/>
  <c r="H685" i="1"/>
  <c r="H670" i="1"/>
  <c r="H484" i="1"/>
  <c r="H469" i="1"/>
  <c r="H376" i="1"/>
  <c r="H361" i="1"/>
  <c r="H316" i="1"/>
  <c r="H268" i="1"/>
  <c r="H253" i="1"/>
  <c r="H238" i="1"/>
  <c r="H206" i="1"/>
  <c r="H188" i="1"/>
  <c r="H167" i="1"/>
  <c r="H112" i="1"/>
  <c r="K536" i="1"/>
  <c r="K166" i="1"/>
  <c r="F67" i="9"/>
  <c r="H148" i="1"/>
  <c r="H49" i="1"/>
  <c r="K889" i="1"/>
  <c r="K739" i="1"/>
  <c r="K667" i="1"/>
  <c r="K475" i="1"/>
  <c r="K154" i="1"/>
  <c r="F7" i="9"/>
  <c r="A77" i="9"/>
  <c r="K5" i="1"/>
  <c r="H5" i="1"/>
  <c r="K11" i="1"/>
  <c r="H11" i="1"/>
  <c r="K14" i="1"/>
  <c r="H14" i="1"/>
  <c r="K20" i="1"/>
  <c r="H20" i="1"/>
  <c r="K23" i="1"/>
  <c r="H23" i="1"/>
  <c r="K26" i="1"/>
  <c r="H26" i="1"/>
  <c r="K29" i="1"/>
  <c r="H29" i="1"/>
  <c r="H35" i="1"/>
  <c r="K35" i="1"/>
  <c r="H38" i="1"/>
  <c r="K38" i="1"/>
  <c r="K47" i="1"/>
  <c r="H47" i="1"/>
  <c r="K50" i="1"/>
  <c r="H50" i="1"/>
  <c r="K56" i="1"/>
  <c r="H56" i="1"/>
  <c r="K59" i="1"/>
  <c r="H59" i="1"/>
  <c r="K62" i="1"/>
  <c r="H62" i="1"/>
  <c r="K68" i="1"/>
  <c r="H68" i="1"/>
  <c r="H74" i="1"/>
  <c r="K74" i="1"/>
  <c r="H77" i="1"/>
  <c r="K77" i="1"/>
  <c r="H83" i="1"/>
  <c r="K83" i="1"/>
  <c r="K92" i="1"/>
  <c r="H92" i="1"/>
  <c r="K95" i="1"/>
  <c r="H95" i="1"/>
  <c r="H104" i="1"/>
  <c r="K104" i="1"/>
  <c r="K107" i="1"/>
  <c r="H107" i="1"/>
  <c r="H110" i="1"/>
  <c r="K110" i="1"/>
  <c r="H113" i="1"/>
  <c r="K113" i="1"/>
  <c r="K125" i="1"/>
  <c r="H125" i="1"/>
  <c r="K131" i="1"/>
  <c r="H131" i="1"/>
  <c r="K134" i="1"/>
  <c r="H134" i="1"/>
  <c r="K140" i="1"/>
  <c r="H140" i="1"/>
  <c r="H143" i="1"/>
  <c r="K143" i="1"/>
  <c r="K146" i="1"/>
  <c r="H146" i="1"/>
  <c r="K149" i="1"/>
  <c r="H149" i="1"/>
  <c r="K155" i="1"/>
  <c r="H155" i="1"/>
  <c r="K170" i="1"/>
  <c r="H170" i="1"/>
  <c r="K179" i="1"/>
  <c r="H179" i="1"/>
  <c r="H182" i="1"/>
  <c r="K182" i="1"/>
  <c r="K185" i="1"/>
  <c r="H185" i="1"/>
  <c r="K197" i="1"/>
  <c r="H197" i="1"/>
  <c r="K203" i="1"/>
  <c r="H203" i="1"/>
  <c r="H218" i="1"/>
  <c r="K218" i="1"/>
  <c r="H221" i="1"/>
  <c r="K221" i="1"/>
  <c r="K224" i="1"/>
  <c r="H224" i="1"/>
  <c r="H233" i="1"/>
  <c r="K233" i="1"/>
  <c r="H248" i="1"/>
  <c r="K248" i="1"/>
  <c r="H257" i="1"/>
  <c r="K257" i="1"/>
  <c r="K263" i="1"/>
  <c r="H263" i="1"/>
  <c r="K284" i="1"/>
  <c r="H284" i="1"/>
  <c r="K305" i="1"/>
  <c r="H305" i="1"/>
  <c r="H323" i="1"/>
  <c r="K323" i="1"/>
  <c r="K326" i="1"/>
  <c r="H326" i="1"/>
  <c r="H362" i="1"/>
  <c r="K362" i="1"/>
  <c r="K365" i="1"/>
  <c r="H365" i="1"/>
  <c r="K380" i="1"/>
  <c r="H380" i="1"/>
  <c r="H392" i="1"/>
  <c r="K392" i="1"/>
  <c r="K395" i="1"/>
  <c r="H395" i="1"/>
  <c r="H431" i="1"/>
  <c r="K431" i="1"/>
  <c r="K452" i="1"/>
  <c r="H452" i="1"/>
  <c r="H467" i="1"/>
  <c r="K467" i="1"/>
  <c r="K470" i="1"/>
  <c r="H470" i="1"/>
  <c r="K482" i="1"/>
  <c r="H482" i="1"/>
  <c r="H497" i="1"/>
  <c r="K497" i="1"/>
  <c r="H506" i="1"/>
  <c r="K506" i="1"/>
  <c r="K509" i="1"/>
  <c r="H509" i="1"/>
  <c r="H545" i="1"/>
  <c r="K545" i="1"/>
  <c r="H572" i="1"/>
  <c r="K572" i="1"/>
  <c r="H575" i="1"/>
  <c r="K575" i="1"/>
  <c r="K599" i="1"/>
  <c r="H599" i="1"/>
  <c r="H611" i="1"/>
  <c r="K611" i="1"/>
  <c r="K614" i="1"/>
  <c r="H614" i="1"/>
  <c r="H644" i="1"/>
  <c r="K644" i="1"/>
  <c r="H650" i="1"/>
  <c r="K650" i="1"/>
  <c r="K653" i="1"/>
  <c r="H653" i="1"/>
  <c r="H659" i="1"/>
  <c r="K659" i="1"/>
  <c r="H689" i="1"/>
  <c r="K689" i="1"/>
  <c r="H716" i="1"/>
  <c r="K716" i="1"/>
  <c r="H719" i="1"/>
  <c r="K719" i="1"/>
  <c r="K746" i="1"/>
  <c r="H746" i="1"/>
  <c r="K758" i="1"/>
  <c r="H758" i="1"/>
  <c r="K761" i="1"/>
  <c r="H761" i="1"/>
  <c r="H794" i="1"/>
  <c r="K794" i="1"/>
  <c r="K797" i="1"/>
  <c r="H797" i="1"/>
  <c r="K818" i="1"/>
  <c r="H818" i="1"/>
  <c r="H824" i="1"/>
  <c r="K824" i="1"/>
  <c r="H833" i="1"/>
  <c r="K833" i="1"/>
  <c r="H860" i="1"/>
  <c r="K860" i="1"/>
  <c r="H863" i="1"/>
  <c r="K863" i="1"/>
  <c r="H899" i="1"/>
  <c r="K899" i="1"/>
  <c r="K902" i="1"/>
  <c r="H902" i="1"/>
  <c r="H938" i="1"/>
  <c r="K938" i="1"/>
  <c r="K941" i="1"/>
  <c r="H941" i="1"/>
  <c r="H968" i="1"/>
  <c r="K968" i="1"/>
  <c r="H977" i="1"/>
  <c r="K977" i="1"/>
  <c r="H1004" i="1"/>
  <c r="K1004" i="1"/>
  <c r="H1007" i="1"/>
  <c r="K1007" i="1"/>
  <c r="K1046" i="1"/>
  <c r="H1046" i="1"/>
  <c r="H880" i="1"/>
  <c r="H838" i="1"/>
  <c r="H760" i="1"/>
  <c r="H712" i="1"/>
  <c r="H697" i="1"/>
  <c r="H652" i="1"/>
  <c r="H589" i="1"/>
  <c r="H544" i="1"/>
  <c r="H514" i="1"/>
  <c r="H481" i="1"/>
  <c r="H466" i="1"/>
  <c r="H449" i="1"/>
  <c r="H436" i="1"/>
  <c r="H421" i="1"/>
  <c r="H406" i="1"/>
  <c r="H389" i="1"/>
  <c r="H374" i="1"/>
  <c r="H359" i="1"/>
  <c r="H329" i="1"/>
  <c r="H314" i="1"/>
  <c r="H298" i="1"/>
  <c r="H281" i="1"/>
  <c r="H266" i="1"/>
  <c r="H251" i="1"/>
  <c r="H236" i="1"/>
  <c r="H202" i="1"/>
  <c r="H164" i="1"/>
  <c r="H128" i="1"/>
  <c r="H109" i="1"/>
  <c r="H88" i="1"/>
  <c r="H70" i="1"/>
  <c r="K769" i="1"/>
  <c r="K287" i="1"/>
  <c r="K275" i="1"/>
  <c r="A11" i="9"/>
  <c r="F78" i="9"/>
  <c r="H682" i="1"/>
  <c r="H634" i="1"/>
  <c r="H604" i="1"/>
  <c r="H574" i="1"/>
  <c r="H448" i="1"/>
  <c r="H373" i="1"/>
  <c r="H341" i="1"/>
  <c r="H328" i="1"/>
  <c r="H280" i="1"/>
  <c r="H265" i="1"/>
  <c r="H250" i="1"/>
  <c r="H217" i="1"/>
  <c r="H181" i="1"/>
  <c r="H145" i="1"/>
  <c r="K877" i="1"/>
  <c r="K817" i="1"/>
  <c r="K547" i="1"/>
  <c r="K430" i="1"/>
  <c r="K428" i="1"/>
  <c r="K383" i="1"/>
  <c r="K199" i="1"/>
  <c r="K137" i="1"/>
  <c r="A17" i="9"/>
  <c r="F87" i="9"/>
  <c r="H865" i="1"/>
  <c r="H772" i="1"/>
  <c r="H757" i="1"/>
  <c r="H649" i="1"/>
  <c r="H556" i="1"/>
  <c r="H434" i="1"/>
  <c r="H419" i="1"/>
  <c r="H404" i="1"/>
  <c r="H386" i="1"/>
  <c r="H340" i="1"/>
  <c r="H311" i="1"/>
  <c r="H296" i="1"/>
  <c r="H232" i="1"/>
  <c r="H200" i="1"/>
  <c r="H161" i="1"/>
  <c r="H86" i="1"/>
  <c r="H44" i="1"/>
  <c r="K701" i="1"/>
  <c r="K211" i="1"/>
  <c r="K127" i="1"/>
  <c r="K79" i="1"/>
  <c r="A23" i="9"/>
  <c r="F93" i="9"/>
  <c r="H892" i="1"/>
  <c r="H724" i="1"/>
  <c r="H694" i="1"/>
  <c r="H664" i="1"/>
  <c r="H586" i="1"/>
  <c r="H478" i="1"/>
  <c r="H433" i="1"/>
  <c r="H385" i="1"/>
  <c r="H325" i="1"/>
  <c r="H278" i="1"/>
  <c r="H262" i="1"/>
  <c r="H215" i="1"/>
  <c r="H160" i="1"/>
  <c r="H142" i="1"/>
  <c r="H122" i="1"/>
  <c r="H65" i="1"/>
  <c r="K925" i="1"/>
  <c r="K731" i="1"/>
  <c r="K460" i="1"/>
  <c r="K350" i="1"/>
  <c r="K322" i="1"/>
  <c r="A30" i="9"/>
  <c r="I104" i="9"/>
  <c r="G104" i="9"/>
  <c r="H2007" i="1"/>
  <c r="K2007" i="1"/>
  <c r="A121" i="9"/>
  <c r="A108" i="9"/>
  <c r="F94" i="9"/>
  <c r="F83" i="9"/>
  <c r="A70" i="9"/>
  <c r="F58" i="9"/>
  <c r="A47" i="9"/>
  <c r="F36" i="9"/>
  <c r="A24" i="9"/>
  <c r="A14" i="9"/>
  <c r="F124" i="9"/>
  <c r="A110" i="9"/>
  <c r="A100" i="9"/>
  <c r="F86" i="9"/>
  <c r="A74" i="9"/>
  <c r="F62" i="9"/>
  <c r="A52" i="9"/>
  <c r="F39" i="9"/>
  <c r="A29" i="9"/>
  <c r="F16" i="9"/>
  <c r="A6" i="9"/>
  <c r="A124" i="9"/>
  <c r="F109" i="9"/>
  <c r="F99" i="9"/>
  <c r="A85" i="9"/>
  <c r="F73" i="9"/>
  <c r="A62" i="9"/>
  <c r="F50" i="9"/>
  <c r="A38" i="9"/>
  <c r="A28" i="9"/>
  <c r="A16" i="9"/>
  <c r="F5" i="9"/>
  <c r="F122" i="9"/>
  <c r="A109" i="9"/>
  <c r="F97" i="9"/>
  <c r="F84" i="9"/>
  <c r="F71" i="9"/>
  <c r="A61" i="9"/>
  <c r="F48" i="9"/>
  <c r="F37" i="9"/>
  <c r="F27" i="9"/>
  <c r="F15" i="9"/>
  <c r="F115" i="9"/>
  <c r="A95" i="9"/>
  <c r="A78" i="9"/>
  <c r="A60" i="9"/>
  <c r="A44" i="9"/>
  <c r="F24" i="9"/>
  <c r="F9" i="9"/>
  <c r="A115" i="9"/>
  <c r="A94" i="9"/>
  <c r="F77" i="9"/>
  <c r="A58" i="9"/>
  <c r="A43" i="9"/>
  <c r="F23" i="9"/>
  <c r="F8" i="9"/>
  <c r="F113" i="9"/>
  <c r="F92" i="9"/>
  <c r="F75" i="9"/>
  <c r="F55" i="9"/>
  <c r="A41" i="9"/>
  <c r="F22" i="9"/>
  <c r="F6" i="9"/>
  <c r="F108" i="9"/>
  <c r="A91" i="9"/>
  <c r="A71" i="9"/>
  <c r="A55" i="9"/>
  <c r="A37" i="9"/>
  <c r="A22" i="9"/>
  <c r="F128" i="9"/>
  <c r="A107" i="9"/>
  <c r="F89" i="9"/>
  <c r="F69" i="9"/>
  <c r="A54" i="9"/>
  <c r="F35" i="9"/>
  <c r="F21" i="9"/>
  <c r="F126" i="9"/>
  <c r="A106" i="9"/>
  <c r="A89" i="9"/>
  <c r="A68" i="9"/>
  <c r="F53" i="9"/>
  <c r="A35" i="9"/>
  <c r="F19" i="9"/>
  <c r="A122" i="9"/>
  <c r="F102" i="9"/>
  <c r="A84" i="9"/>
  <c r="F66" i="9"/>
  <c r="A48" i="9"/>
  <c r="F31" i="9"/>
  <c r="F14" i="9"/>
  <c r="A118" i="9"/>
  <c r="A102" i="9"/>
  <c r="A82" i="9"/>
  <c r="F65" i="9"/>
  <c r="A46" i="9"/>
  <c r="A31" i="9"/>
  <c r="A13" i="9"/>
  <c r="F117" i="9"/>
  <c r="A101" i="9"/>
  <c r="F79" i="9"/>
  <c r="A64" i="9"/>
  <c r="F45" i="9"/>
  <c r="F30" i="9"/>
  <c r="A12" i="9"/>
  <c r="J196" i="3"/>
  <c r="J124" i="3"/>
  <c r="J40" i="3"/>
  <c r="J28" i="3"/>
  <c r="J16" i="3"/>
  <c r="K178" i="3"/>
  <c r="K70" i="3"/>
  <c r="K58" i="3"/>
  <c r="H736" i="1"/>
  <c r="H646" i="1"/>
  <c r="H553" i="1"/>
  <c r="H538" i="1"/>
  <c r="H490" i="1"/>
  <c r="H476" i="1"/>
  <c r="H353" i="1"/>
  <c r="H337" i="1"/>
  <c r="H260" i="1"/>
  <c r="H229" i="1"/>
  <c r="H158" i="1"/>
  <c r="H119" i="1"/>
  <c r="H98" i="1"/>
  <c r="H16" i="1"/>
  <c r="K628" i="1"/>
  <c r="K194" i="1"/>
  <c r="K41" i="1"/>
  <c r="F42" i="9"/>
  <c r="F114" i="9"/>
  <c r="H721" i="1"/>
  <c r="H661" i="1"/>
  <c r="H613" i="1"/>
  <c r="H520" i="1"/>
  <c r="H505" i="1"/>
  <c r="H443" i="1"/>
  <c r="H413" i="1"/>
  <c r="H398" i="1"/>
  <c r="H382" i="1"/>
  <c r="H368" i="1"/>
  <c r="H304" i="1"/>
  <c r="H290" i="1"/>
  <c r="H242" i="1"/>
  <c r="H212" i="1"/>
  <c r="H173" i="1"/>
  <c r="H118" i="1"/>
  <c r="H97" i="1"/>
  <c r="H80" i="1"/>
  <c r="H58" i="1"/>
  <c r="H37" i="1"/>
  <c r="H104" i="9"/>
  <c r="K532" i="1"/>
  <c r="K401" i="1"/>
  <c r="K46" i="1"/>
  <c r="F44" i="9"/>
  <c r="A116" i="9"/>
  <c r="H1243" i="1"/>
  <c r="K1243" i="1"/>
  <c r="H1267" i="1"/>
  <c r="K1267" i="1"/>
  <c r="H1279" i="1"/>
  <c r="K1279" i="1"/>
  <c r="H1303" i="1"/>
  <c r="K1303" i="1"/>
  <c r="H1318" i="1"/>
  <c r="K1318" i="1"/>
  <c r="H1351" i="1"/>
  <c r="K1351" i="1"/>
  <c r="H1363" i="1"/>
  <c r="K1363" i="1"/>
  <c r="H1423" i="1"/>
  <c r="K1423" i="1"/>
  <c r="H1459" i="1"/>
  <c r="K1459" i="1"/>
  <c r="H1462" i="1"/>
  <c r="K1462" i="1"/>
  <c r="H1495" i="1"/>
  <c r="K1495" i="1"/>
  <c r="H1501" i="1"/>
  <c r="K1501" i="1"/>
  <c r="H1504" i="1"/>
  <c r="K1504" i="1"/>
  <c r="K1507" i="1"/>
  <c r="H1507" i="1"/>
  <c r="H1510" i="1"/>
  <c r="K1510" i="1"/>
  <c r="H1513" i="1"/>
  <c r="K1513" i="1"/>
  <c r="K1516" i="1"/>
  <c r="H1516" i="1"/>
  <c r="K1522" i="1"/>
  <c r="H1522" i="1"/>
  <c r="H1528" i="1"/>
  <c r="K1528" i="1"/>
  <c r="K1534" i="1"/>
  <c r="H1534" i="1"/>
  <c r="H1540" i="1"/>
  <c r="K1540" i="1"/>
  <c r="H1546" i="1"/>
  <c r="K1546" i="1"/>
  <c r="K1552" i="1"/>
  <c r="H1552" i="1"/>
  <c r="H1555" i="1"/>
  <c r="K1555" i="1"/>
  <c r="K1558" i="1"/>
  <c r="H1558" i="1"/>
  <c r="H1564" i="1"/>
  <c r="K1564" i="1"/>
  <c r="K1573" i="1"/>
  <c r="H1573" i="1"/>
  <c r="K1582" i="1"/>
  <c r="H1582" i="1"/>
  <c r="K1327" i="1"/>
  <c r="I46" i="3"/>
  <c r="I94" i="3"/>
  <c r="I146" i="3"/>
  <c r="I197" i="3"/>
  <c r="H1226" i="1"/>
  <c r="K1226" i="1"/>
  <c r="H1331" i="1"/>
  <c r="K1331" i="1"/>
  <c r="H1502" i="1"/>
  <c r="K1502" i="1"/>
  <c r="K1505" i="1"/>
  <c r="H1505" i="1"/>
  <c r="K1508" i="1"/>
  <c r="H1508" i="1"/>
  <c r="H1511" i="1"/>
  <c r="K1511" i="1"/>
  <c r="H1520" i="1"/>
  <c r="K1520" i="1"/>
  <c r="H1526" i="1"/>
  <c r="K1526" i="1"/>
  <c r="H1532" i="1"/>
  <c r="K1532" i="1"/>
  <c r="K1535" i="1"/>
  <c r="H1535" i="1"/>
  <c r="H1538" i="1"/>
  <c r="K1538" i="1"/>
  <c r="K1541" i="1"/>
  <c r="H1541" i="1"/>
  <c r="H1544" i="1"/>
  <c r="K1544" i="1"/>
  <c r="K1559" i="1"/>
  <c r="H1559" i="1"/>
  <c r="H1565" i="1"/>
  <c r="K1565" i="1"/>
  <c r="H1568" i="1"/>
  <c r="K1568" i="1"/>
  <c r="K1571" i="1"/>
  <c r="H1571" i="1"/>
  <c r="H1574" i="1"/>
  <c r="K1574" i="1"/>
  <c r="K1577" i="1"/>
  <c r="H1577" i="1"/>
  <c r="H1580" i="1"/>
  <c r="K1580" i="1"/>
  <c r="K1583" i="1"/>
  <c r="H1583" i="1"/>
  <c r="H1589" i="1"/>
  <c r="K1589" i="1"/>
  <c r="H1592" i="1"/>
  <c r="K1592" i="1"/>
  <c r="H1598" i="1"/>
  <c r="K1598" i="1"/>
  <c r="K1601" i="1"/>
  <c r="H1601" i="1"/>
  <c r="H1604" i="1"/>
  <c r="K1604" i="1"/>
  <c r="H1616" i="1"/>
  <c r="K1616" i="1"/>
  <c r="K1619" i="1"/>
  <c r="H1619" i="1"/>
  <c r="H1625" i="1"/>
  <c r="K1625" i="1"/>
  <c r="K1370" i="1"/>
  <c r="K1292" i="1"/>
  <c r="K1255" i="1"/>
  <c r="I13" i="3"/>
  <c r="I61" i="3"/>
  <c r="I106" i="3"/>
  <c r="I161" i="3"/>
  <c r="H1595" i="1"/>
  <c r="H1514" i="1"/>
  <c r="K1213" i="1"/>
  <c r="K1187" i="1"/>
  <c r="I27" i="3"/>
  <c r="I65" i="3"/>
  <c r="I123" i="3"/>
  <c r="I176" i="3"/>
  <c r="I141" i="3"/>
  <c r="I107" i="3"/>
  <c r="I76" i="3"/>
  <c r="I44" i="3"/>
  <c r="I14" i="3"/>
  <c r="I183" i="3"/>
  <c r="I154" i="3"/>
  <c r="I121" i="3"/>
  <c r="I81" i="3"/>
  <c r="I55" i="3"/>
  <c r="I25" i="3"/>
  <c r="I182" i="3"/>
  <c r="I148" i="3"/>
  <c r="I113" i="3"/>
  <c r="I80" i="3"/>
  <c r="I50" i="3"/>
  <c r="I19" i="3"/>
  <c r="I181" i="3"/>
  <c r="I147" i="3"/>
  <c r="I110" i="3"/>
  <c r="I79" i="3"/>
  <c r="I47" i="3"/>
  <c r="I18" i="3"/>
  <c r="H1553" i="1"/>
  <c r="H1547" i="1"/>
  <c r="K1610" i="1"/>
  <c r="K1436" i="1"/>
  <c r="K1315" i="1"/>
  <c r="K1252" i="1"/>
  <c r="I31" i="3"/>
  <c r="I74" i="3"/>
  <c r="I126" i="3"/>
  <c r="I174" i="3"/>
  <c r="K1517" i="1"/>
  <c r="K1265" i="1"/>
  <c r="K1219" i="1"/>
  <c r="I32" i="3"/>
  <c r="I78" i="3"/>
  <c r="I130" i="3"/>
  <c r="K1594" i="1"/>
  <c r="H1594" i="1"/>
  <c r="H1600" i="1"/>
  <c r="K1600" i="1"/>
  <c r="H1606" i="1"/>
  <c r="K1606" i="1"/>
  <c r="K1618" i="1"/>
  <c r="H1618" i="1"/>
  <c r="K1627" i="1"/>
  <c r="H1627" i="1"/>
  <c r="H1633" i="1"/>
  <c r="K1633" i="1"/>
  <c r="H1636" i="1"/>
  <c r="K1636" i="1"/>
  <c r="K1651" i="1"/>
  <c r="H1651" i="1"/>
  <c r="K1657" i="1"/>
  <c r="H1657" i="1"/>
  <c r="K1672" i="1"/>
  <c r="H1672" i="1"/>
  <c r="K1678" i="1"/>
  <c r="H1678" i="1"/>
  <c r="H1681" i="1"/>
  <c r="K1681" i="1"/>
  <c r="K1693" i="1"/>
  <c r="H1693" i="1"/>
  <c r="I204" i="3"/>
  <c r="I192" i="3"/>
  <c r="I180" i="3"/>
  <c r="I168" i="3"/>
  <c r="I156" i="3"/>
  <c r="I144" i="3"/>
  <c r="I132" i="3"/>
  <c r="I120" i="3"/>
  <c r="I108" i="3"/>
  <c r="I96" i="3"/>
  <c r="I84" i="3"/>
  <c r="I72" i="3"/>
  <c r="I60" i="3"/>
  <c r="I48" i="3"/>
  <c r="I36" i="3"/>
  <c r="I24" i="3"/>
  <c r="I12" i="3"/>
  <c r="I206" i="3"/>
  <c r="I193" i="3"/>
  <c r="I179" i="3"/>
  <c r="I166" i="3"/>
  <c r="I153" i="3"/>
  <c r="I140" i="3"/>
  <c r="I127" i="3"/>
  <c r="I114" i="3"/>
  <c r="I101" i="3"/>
  <c r="I88" i="3"/>
  <c r="I75" i="3"/>
  <c r="I62" i="3"/>
  <c r="I49" i="3"/>
  <c r="I35" i="3"/>
  <c r="I22" i="3"/>
  <c r="I200" i="3"/>
  <c r="I186" i="3"/>
  <c r="I172" i="3"/>
  <c r="I158" i="3"/>
  <c r="I143" i="3"/>
  <c r="I129" i="3"/>
  <c r="I115" i="3"/>
  <c r="I100" i="3"/>
  <c r="I86" i="3"/>
  <c r="I71" i="3"/>
  <c r="I57" i="3"/>
  <c r="I43" i="3"/>
  <c r="I29" i="3"/>
  <c r="I15" i="3"/>
  <c r="I207" i="3"/>
  <c r="I190" i="3"/>
  <c r="I175" i="3"/>
  <c r="I160" i="3"/>
  <c r="I145" i="3"/>
  <c r="I128" i="3"/>
  <c r="I112" i="3"/>
  <c r="I97" i="3"/>
  <c r="I208" i="3"/>
  <c r="I189" i="3"/>
  <c r="I173" i="3"/>
  <c r="I155" i="3"/>
  <c r="I138" i="3"/>
  <c r="I122" i="3"/>
  <c r="I105" i="3"/>
  <c r="I89" i="3"/>
  <c r="I73" i="3"/>
  <c r="I56" i="3"/>
  <c r="I41" i="3"/>
  <c r="I26" i="3"/>
  <c r="I10" i="3"/>
  <c r="I203" i="3"/>
  <c r="I187" i="3"/>
  <c r="I170" i="3"/>
  <c r="I152" i="3"/>
  <c r="I136" i="3"/>
  <c r="I119" i="3"/>
  <c r="I103" i="3"/>
  <c r="I85" i="3"/>
  <c r="I69" i="3"/>
  <c r="I54" i="3"/>
  <c r="I39" i="3"/>
  <c r="I23" i="3"/>
  <c r="I202" i="3"/>
  <c r="I185" i="3"/>
  <c r="I169" i="3"/>
  <c r="I151" i="3"/>
  <c r="I135" i="3"/>
  <c r="I118" i="3"/>
  <c r="I102" i="3"/>
  <c r="I83" i="3"/>
  <c r="I68" i="3"/>
  <c r="I53" i="3"/>
  <c r="I38" i="3"/>
  <c r="I21" i="3"/>
  <c r="I201" i="3"/>
  <c r="I184" i="3"/>
  <c r="I167" i="3"/>
  <c r="I150" i="3"/>
  <c r="I134" i="3"/>
  <c r="I117" i="3"/>
  <c r="I99" i="3"/>
  <c r="I82" i="3"/>
  <c r="I67" i="3"/>
  <c r="I52" i="3"/>
  <c r="I37" i="3"/>
  <c r="I20" i="3"/>
  <c r="I191" i="3"/>
  <c r="I163" i="3"/>
  <c r="I139" i="3"/>
  <c r="I111" i="3"/>
  <c r="I90" i="3"/>
  <c r="I64" i="3"/>
  <c r="I42" i="3"/>
  <c r="I17" i="3"/>
  <c r="I199" i="3"/>
  <c r="I177" i="3"/>
  <c r="I149" i="3"/>
  <c r="I125" i="3"/>
  <c r="I98" i="3"/>
  <c r="I77" i="3"/>
  <c r="I51" i="3"/>
  <c r="I30" i="3"/>
  <c r="I195" i="3"/>
  <c r="I165" i="3"/>
  <c r="I142" i="3"/>
  <c r="I116" i="3"/>
  <c r="I92" i="3"/>
  <c r="I66" i="3"/>
  <c r="I45" i="3"/>
  <c r="H1609" i="1"/>
  <c r="H1621" i="1"/>
  <c r="K1669" i="1"/>
  <c r="K1654" i="1"/>
  <c r="K1652" i="1"/>
  <c r="K1802" i="1"/>
  <c r="H1772" i="1"/>
  <c r="H1766" i="1"/>
  <c r="K1588" i="1"/>
  <c r="K1799" i="1"/>
  <c r="H1721" i="1"/>
  <c r="K1688" i="1"/>
  <c r="K1658" i="1"/>
  <c r="H1631" i="1"/>
  <c r="K1631" i="1"/>
  <c r="H1634" i="1"/>
  <c r="K1634" i="1"/>
  <c r="K1637" i="1"/>
  <c r="H1637" i="1"/>
  <c r="K1640" i="1"/>
  <c r="H1640" i="1"/>
  <c r="K1643" i="1"/>
  <c r="H1643" i="1"/>
  <c r="H1655" i="1"/>
  <c r="K1655" i="1"/>
  <c r="K1664" i="1"/>
  <c r="H1664" i="1"/>
  <c r="K1667" i="1"/>
  <c r="H1667" i="1"/>
  <c r="H1670" i="1"/>
  <c r="K1670" i="1"/>
  <c r="K1676" i="1"/>
  <c r="H1676" i="1"/>
  <c r="H1682" i="1"/>
  <c r="K1682" i="1"/>
  <c r="K1685" i="1"/>
  <c r="H1685" i="1"/>
  <c r="H1697" i="1"/>
  <c r="K1697" i="1"/>
  <c r="H1700" i="1"/>
  <c r="K1700" i="1"/>
  <c r="H1715" i="1"/>
  <c r="K1715" i="1"/>
  <c r="K1718" i="1"/>
  <c r="H1718" i="1"/>
  <c r="K1727" i="1"/>
  <c r="H1727" i="1"/>
  <c r="K1730" i="1"/>
  <c r="H1730" i="1"/>
  <c r="H1733" i="1"/>
  <c r="K1733" i="1"/>
  <c r="H1736" i="1"/>
  <c r="K1736" i="1"/>
  <c r="H1739" i="1"/>
  <c r="K1739" i="1"/>
  <c r="H1742" i="1"/>
  <c r="K1742" i="1"/>
  <c r="K1751" i="1"/>
  <c r="H1751" i="1"/>
  <c r="K1754" i="1"/>
  <c r="H1754" i="1"/>
  <c r="H1760" i="1"/>
  <c r="K1760" i="1"/>
  <c r="K1763" i="1"/>
  <c r="H1763" i="1"/>
  <c r="K1775" i="1"/>
  <c r="H1775" i="1"/>
  <c r="K1778" i="1"/>
  <c r="H1778" i="1"/>
  <c r="H1784" i="1"/>
  <c r="K1784" i="1"/>
  <c r="K1787" i="1"/>
  <c r="H1787" i="1"/>
  <c r="H1790" i="1"/>
  <c r="K1790" i="1"/>
  <c r="K1793" i="1"/>
  <c r="H1793" i="1"/>
  <c r="K1796" i="1"/>
  <c r="H1796" i="1"/>
  <c r="K1805" i="1"/>
  <c r="H1805" i="1"/>
  <c r="K1808" i="1"/>
  <c r="H1808" i="1"/>
  <c r="H1814" i="1"/>
  <c r="K1814" i="1"/>
  <c r="H1817" i="1"/>
  <c r="K1817" i="1"/>
  <c r="K1820" i="1"/>
  <c r="H1820" i="1"/>
  <c r="H1823" i="1"/>
  <c r="K1823" i="1"/>
  <c r="K1829" i="1"/>
  <c r="H1829" i="1"/>
  <c r="H1838" i="1"/>
  <c r="K1838" i="1"/>
  <c r="H1841" i="1"/>
  <c r="K1841" i="1"/>
  <c r="K1850" i="1"/>
  <c r="H1850" i="1"/>
  <c r="K1853" i="1"/>
  <c r="H1853" i="1"/>
  <c r="K1856" i="1"/>
  <c r="H1856" i="1"/>
  <c r="K1859" i="1"/>
  <c r="H1859" i="1"/>
  <c r="K1865" i="1"/>
  <c r="H1865" i="1"/>
  <c r="H1871" i="1"/>
  <c r="K1871" i="1"/>
  <c r="H1874" i="1"/>
  <c r="K1874" i="1"/>
  <c r="K1880" i="1"/>
  <c r="H1880" i="1"/>
  <c r="H1886" i="1"/>
  <c r="K1886" i="1"/>
  <c r="K1898" i="1"/>
  <c r="H1898" i="1"/>
  <c r="K1901" i="1"/>
  <c r="H1901" i="1"/>
  <c r="K1907" i="1"/>
  <c r="H1907" i="1"/>
  <c r="H1910" i="1"/>
  <c r="K1910" i="1"/>
  <c r="K1916" i="1"/>
  <c r="H1916" i="1"/>
  <c r="H1922" i="1"/>
  <c r="K1922" i="1"/>
  <c r="H1811" i="1"/>
  <c r="K1781" i="1"/>
  <c r="A128" i="9"/>
  <c r="F120" i="9"/>
  <c r="F116" i="9"/>
  <c r="F107" i="9"/>
  <c r="F96" i="9"/>
  <c r="A86" i="9"/>
  <c r="F76" i="9"/>
  <c r="F123" i="9"/>
  <c r="A113" i="9"/>
  <c r="F101" i="9"/>
  <c r="F91" i="9"/>
  <c r="F81" i="9"/>
  <c r="F70" i="9"/>
  <c r="F60" i="9"/>
  <c r="A50" i="9"/>
  <c r="F38" i="9"/>
  <c r="F29" i="9"/>
  <c r="A19" i="9"/>
  <c r="A8" i="9"/>
  <c r="H1712" i="1"/>
  <c r="M1825" i="1"/>
  <c r="N1825" i="1"/>
  <c r="K1724" i="1"/>
  <c r="H2005" i="1"/>
  <c r="K2005" i="1"/>
  <c r="K1628" i="1"/>
  <c r="K1691" i="1"/>
  <c r="K1663" i="1"/>
  <c r="K1661" i="1"/>
  <c r="K1648" i="1"/>
  <c r="H1769" i="1"/>
  <c r="K1745" i="1"/>
  <c r="H1706" i="1"/>
  <c r="H1943" i="1"/>
  <c r="K1943" i="1"/>
  <c r="K1949" i="1"/>
  <c r="H1949" i="1"/>
  <c r="H1958" i="1"/>
  <c r="K1958" i="1"/>
  <c r="K1973" i="1"/>
  <c r="H1973" i="1"/>
  <c r="H1982" i="1"/>
  <c r="K1982" i="1"/>
  <c r="H1985" i="1"/>
  <c r="K1985" i="1"/>
  <c r="K1997" i="1"/>
  <c r="H1997" i="1"/>
  <c r="N1895" i="1"/>
  <c r="M1895" i="1"/>
  <c r="H1955" i="1"/>
  <c r="M1963" i="1"/>
  <c r="N1963" i="1"/>
  <c r="M1853" i="1"/>
  <c r="N1853" i="1"/>
  <c r="N1981" i="1"/>
  <c r="N1961" i="1"/>
  <c r="N1879" i="1"/>
  <c r="M1823" i="1"/>
  <c r="N1823" i="1"/>
  <c r="H2020" i="1"/>
  <c r="K2020" i="1"/>
  <c r="H2011" i="1"/>
  <c r="K2011" i="1"/>
  <c r="H2001" i="1"/>
  <c r="K2001" i="1"/>
  <c r="A126" i="9"/>
  <c r="A119" i="9"/>
  <c r="F111" i="9"/>
  <c r="A104" i="9"/>
  <c r="A97" i="9"/>
  <c r="A90" i="9"/>
  <c r="A83" i="9"/>
  <c r="A76" i="9"/>
  <c r="F68" i="9"/>
  <c r="F61" i="9"/>
  <c r="F54" i="9"/>
  <c r="F47" i="9"/>
  <c r="F40" i="9"/>
  <c r="F32" i="9"/>
  <c r="F25" i="9"/>
  <c r="F18" i="9"/>
  <c r="F11" i="9"/>
  <c r="M2002" i="1"/>
  <c r="N2002" i="1"/>
  <c r="M1954" i="1"/>
  <c r="N1954" i="1"/>
  <c r="N1864" i="1"/>
  <c r="M1864" i="1"/>
  <c r="M1751" i="1"/>
  <c r="N1751" i="1"/>
  <c r="N2008" i="1"/>
  <c r="M2008" i="1"/>
  <c r="M1807" i="1"/>
  <c r="N1807" i="1"/>
  <c r="N1918" i="1"/>
  <c r="M1918" i="1"/>
  <c r="M1792" i="1"/>
  <c r="N1792" i="1"/>
  <c r="N2014" i="1"/>
  <c r="M2014" i="1"/>
  <c r="M1945" i="1"/>
  <c r="N1945" i="1"/>
  <c r="A10" i="9"/>
  <c r="F17" i="9"/>
  <c r="A25" i="9"/>
  <c r="A34" i="9"/>
  <c r="F41" i="9"/>
  <c r="A49" i="9"/>
  <c r="F56" i="9"/>
  <c r="F64" i="9"/>
  <c r="A72" i="9"/>
  <c r="A80" i="9"/>
  <c r="A88" i="9"/>
  <c r="F95" i="9"/>
  <c r="A103" i="9"/>
  <c r="F110" i="9"/>
  <c r="F119" i="9"/>
  <c r="A127" i="9"/>
  <c r="K1861" i="1"/>
  <c r="H1819" i="1"/>
  <c r="H1801" i="1"/>
  <c r="H1729" i="1"/>
  <c r="K1726" i="1"/>
  <c r="H2002" i="1"/>
  <c r="K2002" i="1"/>
  <c r="M1903" i="1"/>
  <c r="N1903" i="1"/>
  <c r="M1840" i="1"/>
  <c r="N1840" i="1"/>
  <c r="M1798" i="1"/>
  <c r="N1798" i="1"/>
  <c r="M1769" i="1"/>
  <c r="N1769" i="1"/>
  <c r="M1762" i="1"/>
  <c r="N1762" i="1"/>
  <c r="F10" i="9"/>
  <c r="A18" i="9"/>
  <c r="A26" i="9"/>
  <c r="F34" i="9"/>
  <c r="A42" i="9"/>
  <c r="F49" i="9"/>
  <c r="F57" i="9"/>
  <c r="A65" i="9"/>
  <c r="A73" i="9"/>
  <c r="F80" i="9"/>
  <c r="F88" i="9"/>
  <c r="A96" i="9"/>
  <c r="F103" i="9"/>
  <c r="F112" i="9"/>
  <c r="A120" i="9"/>
  <c r="F127" i="9"/>
  <c r="H1909" i="1"/>
  <c r="H1900" i="1"/>
  <c r="K1852" i="1"/>
  <c r="K1843" i="1"/>
  <c r="H1786" i="1"/>
  <c r="H1765" i="1"/>
  <c r="K1756" i="1"/>
  <c r="N1909" i="1"/>
  <c r="M1783" i="1"/>
  <c r="N1783" i="1"/>
  <c r="K1699" i="1"/>
  <c r="K1762" i="1"/>
  <c r="N1936" i="1"/>
  <c r="M1936" i="1"/>
  <c r="M1537" i="1"/>
  <c r="N1537" i="1"/>
  <c r="M1522" i="1"/>
  <c r="N1522" i="1"/>
  <c r="A5" i="9"/>
  <c r="F12" i="9"/>
  <c r="F20" i="9"/>
  <c r="F28" i="9"/>
  <c r="A36" i="9"/>
  <c r="F43" i="9"/>
  <c r="F51" i="9"/>
  <c r="A59" i="9"/>
  <c r="A67" i="9"/>
  <c r="F74" i="9"/>
  <c r="F82" i="9"/>
  <c r="F90" i="9"/>
  <c r="A98" i="9"/>
  <c r="F106" i="9"/>
  <c r="A114" i="9"/>
  <c r="F121" i="9"/>
  <c r="F129" i="9"/>
  <c r="H1999" i="1"/>
  <c r="M1948" i="1"/>
  <c r="K1933" i="1"/>
  <c r="M1888" i="1"/>
  <c r="K1867" i="1"/>
  <c r="K1840" i="1"/>
  <c r="K1816" i="1"/>
  <c r="K1807" i="1"/>
  <c r="M2011" i="1"/>
  <c r="N2011" i="1"/>
  <c r="N1969" i="1"/>
  <c r="N1949" i="1"/>
  <c r="N1921" i="1"/>
  <c r="M1894" i="1"/>
  <c r="N1894" i="1"/>
  <c r="N1831" i="1"/>
  <c r="H1711" i="1"/>
  <c r="K1711" i="1"/>
  <c r="H1720" i="1"/>
  <c r="K1720" i="1"/>
  <c r="K1723" i="1"/>
  <c r="H1723" i="1"/>
  <c r="H1738" i="1"/>
  <c r="K1738" i="1"/>
  <c r="H1753" i="1"/>
  <c r="K1753" i="1"/>
  <c r="K1777" i="1"/>
  <c r="H1777" i="1"/>
  <c r="H1780" i="1"/>
  <c r="K1780" i="1"/>
  <c r="K1795" i="1"/>
  <c r="H1795" i="1"/>
  <c r="H1813" i="1"/>
  <c r="K1813" i="1"/>
  <c r="H1831" i="1"/>
  <c r="K1831" i="1"/>
  <c r="K1846" i="1"/>
  <c r="H1846" i="1"/>
  <c r="K1855" i="1"/>
  <c r="H1855" i="1"/>
  <c r="H1876" i="1"/>
  <c r="K1876" i="1"/>
  <c r="H1885" i="1"/>
  <c r="K1885" i="1"/>
  <c r="K1891" i="1"/>
  <c r="H1891" i="1"/>
  <c r="H1903" i="1"/>
  <c r="K1903" i="1"/>
  <c r="K1915" i="1"/>
  <c r="H1915" i="1"/>
  <c r="H1936" i="1"/>
  <c r="H1954" i="1"/>
  <c r="H1975" i="1"/>
  <c r="K1975" i="1"/>
  <c r="K1981" i="1"/>
  <c r="H1981" i="1"/>
  <c r="H1993" i="1"/>
  <c r="K1993" i="1"/>
  <c r="N1955" i="1"/>
  <c r="N1865" i="1"/>
  <c r="M1703" i="1"/>
  <c r="N1703" i="1"/>
  <c r="M1771" i="1"/>
  <c r="N1771" i="1"/>
  <c r="N1750" i="1"/>
  <c r="M1750" i="1"/>
  <c r="M1534" i="1"/>
  <c r="N1534" i="1"/>
  <c r="M1607" i="1"/>
  <c r="N1607" i="1"/>
  <c r="M1585" i="1"/>
  <c r="N1585" i="1"/>
  <c r="M1678" i="1"/>
  <c r="N1678" i="1"/>
  <c r="M1657" i="1"/>
  <c r="N1657" i="1"/>
  <c r="H2006" i="1"/>
  <c r="K2006" i="1"/>
  <c r="M1924" i="1"/>
  <c r="N1924" i="1"/>
  <c r="M1822" i="1"/>
  <c r="N1822" i="1"/>
  <c r="N1781" i="1"/>
  <c r="N1705" i="1"/>
  <c r="M1774" i="1"/>
  <c r="N1774" i="1"/>
  <c r="M1753" i="1"/>
  <c r="N1753" i="1"/>
  <c r="M1648" i="1"/>
  <c r="N1648" i="1"/>
  <c r="M1780" i="1"/>
  <c r="N1780" i="1"/>
  <c r="M1567" i="1"/>
  <c r="N1567" i="1"/>
  <c r="M1744" i="1"/>
  <c r="N1744" i="1"/>
  <c r="M1624" i="1"/>
  <c r="N1624" i="1"/>
  <c r="M1558" i="1"/>
  <c r="N1558" i="1"/>
  <c r="M1564" i="1"/>
  <c r="N1564" i="1"/>
  <c r="M1817" i="1"/>
  <c r="N1817" i="1"/>
  <c r="M1810" i="1"/>
  <c r="N1810" i="1"/>
  <c r="M1708" i="1"/>
  <c r="N1708" i="1"/>
  <c r="M1618" i="1"/>
  <c r="N1618" i="1"/>
  <c r="N1597" i="1"/>
  <c r="M1576" i="1"/>
  <c r="N1576" i="1"/>
  <c r="M1555" i="1"/>
  <c r="N1555" i="1"/>
  <c r="M1525" i="1"/>
  <c r="N1525" i="1"/>
  <c r="M1511" i="1"/>
  <c r="N1511" i="1"/>
  <c r="M1546" i="1"/>
  <c r="N1546" i="1"/>
  <c r="M1594" i="1"/>
  <c r="N1594" i="1"/>
  <c r="M1552" i="1"/>
  <c r="N1552" i="1"/>
  <c r="M1966" i="1"/>
  <c r="N1966" i="1"/>
  <c r="M1600" i="1"/>
  <c r="N1600" i="1"/>
  <c r="M1579" i="1"/>
  <c r="N1579" i="1"/>
  <c r="M1528" i="1"/>
  <c r="N1528" i="1"/>
  <c r="A129" i="9"/>
  <c r="A123" i="9"/>
  <c r="A117" i="9"/>
  <c r="A111" i="9"/>
  <c r="A105" i="9"/>
  <c r="A99" i="9"/>
  <c r="A93" i="9"/>
  <c r="A87" i="9"/>
  <c r="A81" i="9"/>
  <c r="A75" i="9"/>
  <c r="A69" i="9"/>
  <c r="A63" i="9"/>
  <c r="A57" i="9"/>
  <c r="A51" i="9"/>
  <c r="A45" i="9"/>
  <c r="A39" i="9"/>
  <c r="A33" i="9"/>
  <c r="A27" i="9"/>
  <c r="A21" i="9"/>
  <c r="A15" i="9"/>
  <c r="A9" i="9"/>
  <c r="A125" i="9"/>
  <c r="F118" i="9"/>
  <c r="A112" i="9"/>
  <c r="F105" i="9"/>
  <c r="F98" i="9"/>
  <c r="A92" i="9"/>
  <c r="F85" i="9"/>
  <c r="A79" i="9"/>
  <c r="F72" i="9"/>
  <c r="A66" i="9"/>
  <c r="F59" i="9"/>
  <c r="A53" i="9"/>
  <c r="F46" i="9"/>
  <c r="A40" i="9"/>
  <c r="F33" i="9"/>
  <c r="F26" i="9"/>
  <c r="A20" i="9"/>
  <c r="F13" i="9"/>
  <c r="A7" i="9"/>
  <c r="M1540" i="1"/>
  <c r="N1540" i="1"/>
  <c r="M1570" i="1"/>
  <c r="N1570" i="1"/>
  <c r="M1726" i="1"/>
  <c r="N1726" i="1"/>
  <c r="M1582" i="1"/>
  <c r="N1582" i="1"/>
  <c r="N1549" i="1"/>
  <c r="M1588" i="1"/>
  <c r="N1588" i="1"/>
  <c r="H2003" i="1"/>
  <c r="H1524" i="1"/>
  <c r="H1530" i="1"/>
  <c r="H1536" i="1"/>
  <c r="H1542" i="1"/>
  <c r="H1548" i="1"/>
  <c r="H1554" i="1"/>
  <c r="H1560" i="1"/>
  <c r="H1566" i="1"/>
  <c r="H1572" i="1"/>
  <c r="H1578" i="1"/>
  <c r="H1584" i="1"/>
  <c r="H1590" i="1"/>
  <c r="H1596" i="1"/>
  <c r="H1602" i="1"/>
  <c r="K1665" i="1"/>
  <c r="H1665" i="1"/>
  <c r="H1680" i="1"/>
  <c r="H1716" i="1"/>
  <c r="H1767" i="1"/>
  <c r="K1767" i="1"/>
  <c r="H1788" i="1"/>
  <c r="K1827" i="1"/>
  <c r="H1827" i="1"/>
  <c r="K1851" i="1"/>
  <c r="H1851" i="1"/>
  <c r="K1863" i="1"/>
  <c r="H1863" i="1"/>
  <c r="K1866" i="1"/>
  <c r="H1866" i="1"/>
  <c r="K1899" i="1"/>
  <c r="H1899" i="1"/>
  <c r="K1923" i="1"/>
  <c r="H1923" i="1"/>
  <c r="K1935" i="1"/>
  <c r="H1935" i="1"/>
  <c r="K1938" i="1"/>
  <c r="H1938" i="1"/>
  <c r="K1971" i="1"/>
  <c r="H1971" i="1"/>
  <c r="K1995" i="1"/>
  <c r="H1995" i="1"/>
  <c r="H2008" i="1"/>
  <c r="K2008" i="1"/>
  <c r="H2017" i="1"/>
  <c r="K2017" i="1"/>
  <c r="H2010" i="1"/>
  <c r="H2004" i="1"/>
  <c r="H2014" i="1"/>
  <c r="K2014" i="1"/>
  <c r="H2009" i="1"/>
  <c r="K131" i="3" l="1"/>
  <c r="K171" i="3"/>
  <c r="J133" i="3"/>
  <c r="K63" i="3"/>
  <c r="K137" i="3"/>
  <c r="J33" i="3"/>
  <c r="J162" i="3"/>
  <c r="G125" i="9"/>
  <c r="G52" i="9"/>
  <c r="H125" i="9"/>
  <c r="H52" i="9"/>
  <c r="B32" i="9"/>
  <c r="C32" i="9"/>
  <c r="G100" i="9"/>
  <c r="I100" i="9"/>
  <c r="J93" i="3"/>
  <c r="J87" i="3"/>
  <c r="K159" i="3"/>
  <c r="K109" i="3"/>
  <c r="K164" i="3"/>
  <c r="K104" i="3"/>
  <c r="J188" i="3"/>
  <c r="K91" i="3"/>
  <c r="K11" i="3"/>
  <c r="B66" i="9"/>
  <c r="C66" i="9"/>
  <c r="D66" i="9"/>
  <c r="C21" i="9"/>
  <c r="B21" i="9"/>
  <c r="D21" i="9"/>
  <c r="C93" i="9"/>
  <c r="B93" i="9"/>
  <c r="D93" i="9"/>
  <c r="B98" i="9"/>
  <c r="D98" i="9"/>
  <c r="C98" i="9"/>
  <c r="C5" i="9"/>
  <c r="D5" i="9"/>
  <c r="B5" i="9"/>
  <c r="I88" i="9"/>
  <c r="H88" i="9"/>
  <c r="G88" i="9"/>
  <c r="H64" i="9"/>
  <c r="G64" i="9"/>
  <c r="I64" i="9"/>
  <c r="H68" i="9"/>
  <c r="I68" i="9"/>
  <c r="G68" i="9"/>
  <c r="G60" i="9"/>
  <c r="H60" i="9"/>
  <c r="I60" i="9"/>
  <c r="I120" i="9"/>
  <c r="H120" i="9"/>
  <c r="G120" i="9"/>
  <c r="J66" i="3"/>
  <c r="K66" i="3"/>
  <c r="K177" i="3"/>
  <c r="J177" i="3"/>
  <c r="J52" i="3"/>
  <c r="K52" i="3"/>
  <c r="K53" i="3"/>
  <c r="J53" i="3"/>
  <c r="K54" i="3"/>
  <c r="J54" i="3"/>
  <c r="K41" i="3"/>
  <c r="J41" i="3"/>
  <c r="J112" i="3"/>
  <c r="K112" i="3"/>
  <c r="J86" i="3"/>
  <c r="K86" i="3"/>
  <c r="K62" i="3"/>
  <c r="J62" i="3"/>
  <c r="K12" i="3"/>
  <c r="J12" i="3"/>
  <c r="K156" i="3"/>
  <c r="J156" i="3"/>
  <c r="K47" i="3"/>
  <c r="J47" i="3"/>
  <c r="K55" i="3"/>
  <c r="J55" i="3"/>
  <c r="K65" i="3"/>
  <c r="J65" i="3"/>
  <c r="K146" i="3"/>
  <c r="J146" i="3"/>
  <c r="C101" i="9"/>
  <c r="B101" i="9"/>
  <c r="D101" i="9"/>
  <c r="H66" i="9"/>
  <c r="G66" i="9"/>
  <c r="I66" i="9"/>
  <c r="G35" i="9"/>
  <c r="H35" i="9"/>
  <c r="I35" i="9"/>
  <c r="H6" i="9"/>
  <c r="G6" i="9"/>
  <c r="I6" i="9"/>
  <c r="C94" i="9"/>
  <c r="D94" i="9"/>
  <c r="B94" i="9"/>
  <c r="G48" i="9"/>
  <c r="I48" i="9"/>
  <c r="H48" i="9"/>
  <c r="B62" i="9"/>
  <c r="C62" i="9"/>
  <c r="D62" i="9"/>
  <c r="B74" i="9"/>
  <c r="C74" i="9"/>
  <c r="D74" i="9"/>
  <c r="H94" i="9"/>
  <c r="G94" i="9"/>
  <c r="I94" i="9"/>
  <c r="H72" i="9"/>
  <c r="G72" i="9"/>
  <c r="I72" i="9"/>
  <c r="C27" i="9"/>
  <c r="B27" i="9"/>
  <c r="D27" i="9"/>
  <c r="C99" i="9"/>
  <c r="D99" i="9"/>
  <c r="B99" i="9"/>
  <c r="G90" i="9"/>
  <c r="I90" i="9"/>
  <c r="H90" i="9"/>
  <c r="G80" i="9"/>
  <c r="I80" i="9"/>
  <c r="H80" i="9"/>
  <c r="G56" i="9"/>
  <c r="H56" i="9"/>
  <c r="I56" i="9"/>
  <c r="C76" i="9"/>
  <c r="D76" i="9"/>
  <c r="B76" i="9"/>
  <c r="H70" i="9"/>
  <c r="I70" i="9"/>
  <c r="G70" i="9"/>
  <c r="B128" i="9"/>
  <c r="D128" i="9"/>
  <c r="C128" i="9"/>
  <c r="K92" i="3"/>
  <c r="J92" i="3"/>
  <c r="K199" i="3"/>
  <c r="J199" i="3"/>
  <c r="J67" i="3"/>
  <c r="K67" i="3"/>
  <c r="K68" i="3"/>
  <c r="J68" i="3"/>
  <c r="K69" i="3"/>
  <c r="J69" i="3"/>
  <c r="K56" i="3"/>
  <c r="J56" i="3"/>
  <c r="J128" i="3"/>
  <c r="K128" i="3"/>
  <c r="J100" i="3"/>
  <c r="K100" i="3"/>
  <c r="K75" i="3"/>
  <c r="J75" i="3"/>
  <c r="J24" i="3"/>
  <c r="K24" i="3"/>
  <c r="K168" i="3"/>
  <c r="J168" i="3"/>
  <c r="J174" i="3"/>
  <c r="K174" i="3"/>
  <c r="K79" i="3"/>
  <c r="J79" i="3"/>
  <c r="K81" i="3"/>
  <c r="J81" i="3"/>
  <c r="K27" i="3"/>
  <c r="J27" i="3"/>
  <c r="K94" i="3"/>
  <c r="J94" i="3"/>
  <c r="B116" i="9"/>
  <c r="C116" i="9"/>
  <c r="D116" i="9"/>
  <c r="H117" i="9"/>
  <c r="I117" i="9"/>
  <c r="G117" i="9"/>
  <c r="D84" i="9"/>
  <c r="B84" i="9"/>
  <c r="C84" i="9"/>
  <c r="D54" i="9"/>
  <c r="C54" i="9"/>
  <c r="B54" i="9"/>
  <c r="G22" i="9"/>
  <c r="H22" i="9"/>
  <c r="I22" i="9"/>
  <c r="B115" i="9"/>
  <c r="C115" i="9"/>
  <c r="D115" i="9"/>
  <c r="D61" i="9"/>
  <c r="B61" i="9"/>
  <c r="C61" i="9"/>
  <c r="I73" i="9"/>
  <c r="G73" i="9"/>
  <c r="H73" i="9"/>
  <c r="H86" i="9"/>
  <c r="I86" i="9"/>
  <c r="G86" i="9"/>
  <c r="B108" i="9"/>
  <c r="C108" i="9"/>
  <c r="D108" i="9"/>
  <c r="C79" i="9"/>
  <c r="B79" i="9"/>
  <c r="D79" i="9"/>
  <c r="C33" i="9"/>
  <c r="D33" i="9"/>
  <c r="B33" i="9"/>
  <c r="D105" i="9"/>
  <c r="B105" i="9"/>
  <c r="C105" i="9"/>
  <c r="H82" i="9"/>
  <c r="G82" i="9"/>
  <c r="I82" i="9"/>
  <c r="C73" i="9"/>
  <c r="B73" i="9"/>
  <c r="D73" i="9"/>
  <c r="C49" i="9"/>
  <c r="D49" i="9"/>
  <c r="B49" i="9"/>
  <c r="C83" i="9"/>
  <c r="D83" i="9"/>
  <c r="B83" i="9"/>
  <c r="H81" i="9"/>
  <c r="I81" i="9"/>
  <c r="G81" i="9"/>
  <c r="K116" i="3"/>
  <c r="J116" i="3"/>
  <c r="K17" i="3"/>
  <c r="J17" i="3"/>
  <c r="K82" i="3"/>
  <c r="J82" i="3"/>
  <c r="J83" i="3"/>
  <c r="K83" i="3"/>
  <c r="K85" i="3"/>
  <c r="J85" i="3"/>
  <c r="J73" i="3"/>
  <c r="K73" i="3"/>
  <c r="J145" i="3"/>
  <c r="K145" i="3"/>
  <c r="K115" i="3"/>
  <c r="J115" i="3"/>
  <c r="J88" i="3"/>
  <c r="K88" i="3"/>
  <c r="K36" i="3"/>
  <c r="J36" i="3"/>
  <c r="K180" i="3"/>
  <c r="J180" i="3"/>
  <c r="J126" i="3"/>
  <c r="K126" i="3"/>
  <c r="J110" i="3"/>
  <c r="K110" i="3"/>
  <c r="K121" i="3"/>
  <c r="J121" i="3"/>
  <c r="K46" i="3"/>
  <c r="J46" i="3"/>
  <c r="G44" i="9"/>
  <c r="H44" i="9"/>
  <c r="I44" i="9"/>
  <c r="C13" i="9"/>
  <c r="D13" i="9"/>
  <c r="B13" i="9"/>
  <c r="I102" i="9"/>
  <c r="H102" i="9"/>
  <c r="G102" i="9"/>
  <c r="I69" i="9"/>
  <c r="G69" i="9"/>
  <c r="H69" i="9"/>
  <c r="C41" i="9"/>
  <c r="D41" i="9"/>
  <c r="B41" i="9"/>
  <c r="G9" i="9"/>
  <c r="H9" i="9"/>
  <c r="I9" i="9"/>
  <c r="I71" i="9"/>
  <c r="G71" i="9"/>
  <c r="H71" i="9"/>
  <c r="C85" i="9"/>
  <c r="D85" i="9"/>
  <c r="B85" i="9"/>
  <c r="C100" i="9"/>
  <c r="D100" i="9"/>
  <c r="B100" i="9"/>
  <c r="B121" i="9"/>
  <c r="C121" i="9"/>
  <c r="D121" i="9"/>
  <c r="C7" i="9"/>
  <c r="D7" i="9"/>
  <c r="B7" i="9"/>
  <c r="G85" i="9"/>
  <c r="I85" i="9"/>
  <c r="H85" i="9"/>
  <c r="C39" i="9"/>
  <c r="B39" i="9"/>
  <c r="D39" i="9"/>
  <c r="B111" i="9"/>
  <c r="D111" i="9"/>
  <c r="C111" i="9"/>
  <c r="H74" i="9"/>
  <c r="I74" i="9"/>
  <c r="G74" i="9"/>
  <c r="B65" i="9"/>
  <c r="C65" i="9"/>
  <c r="D65" i="9"/>
  <c r="H41" i="9"/>
  <c r="I41" i="9"/>
  <c r="G41" i="9"/>
  <c r="C90" i="9"/>
  <c r="D90" i="9"/>
  <c r="B90" i="9"/>
  <c r="G91" i="9"/>
  <c r="I91" i="9"/>
  <c r="H91" i="9"/>
  <c r="K142" i="3"/>
  <c r="J142" i="3"/>
  <c r="K42" i="3"/>
  <c r="J42" i="3"/>
  <c r="K99" i="3"/>
  <c r="J99" i="3"/>
  <c r="K102" i="3"/>
  <c r="J102" i="3"/>
  <c r="K103" i="3"/>
  <c r="J103" i="3"/>
  <c r="K89" i="3"/>
  <c r="J89" i="3"/>
  <c r="J160" i="3"/>
  <c r="K160" i="3"/>
  <c r="K129" i="3"/>
  <c r="J129" i="3"/>
  <c r="K101" i="3"/>
  <c r="J101" i="3"/>
  <c r="K48" i="3"/>
  <c r="J48" i="3"/>
  <c r="K192" i="3"/>
  <c r="J192" i="3"/>
  <c r="J74" i="3"/>
  <c r="K74" i="3"/>
  <c r="K147" i="3"/>
  <c r="J147" i="3"/>
  <c r="K154" i="3"/>
  <c r="J154" i="3"/>
  <c r="C31" i="9"/>
  <c r="B31" i="9"/>
  <c r="D31" i="9"/>
  <c r="C122" i="9"/>
  <c r="B122" i="9"/>
  <c r="D122" i="9"/>
  <c r="I89" i="9"/>
  <c r="H89" i="9"/>
  <c r="G89" i="9"/>
  <c r="I55" i="9"/>
  <c r="H55" i="9"/>
  <c r="G55" i="9"/>
  <c r="G24" i="9"/>
  <c r="I24" i="9"/>
  <c r="H24" i="9"/>
  <c r="I84" i="9"/>
  <c r="H84" i="9"/>
  <c r="G84" i="9"/>
  <c r="G99" i="9"/>
  <c r="I99" i="9"/>
  <c r="H99" i="9"/>
  <c r="C110" i="9"/>
  <c r="D110" i="9"/>
  <c r="B110" i="9"/>
  <c r="I67" i="9"/>
  <c r="G67" i="9"/>
  <c r="H67" i="9"/>
  <c r="I63" i="9"/>
  <c r="G63" i="9"/>
  <c r="H63" i="9"/>
  <c r="H13" i="9"/>
  <c r="G13" i="9"/>
  <c r="I13" i="9"/>
  <c r="B92" i="9"/>
  <c r="D92" i="9"/>
  <c r="C92" i="9"/>
  <c r="C45" i="9"/>
  <c r="B45" i="9"/>
  <c r="D45" i="9"/>
  <c r="D117" i="9"/>
  <c r="C117" i="9"/>
  <c r="B117" i="9"/>
  <c r="B67" i="9"/>
  <c r="C67" i="9"/>
  <c r="D67" i="9"/>
  <c r="G57" i="9"/>
  <c r="I57" i="9"/>
  <c r="H57" i="9"/>
  <c r="B127" i="9"/>
  <c r="D127" i="9"/>
  <c r="C127" i="9"/>
  <c r="C34" i="9"/>
  <c r="D34" i="9"/>
  <c r="B34" i="9"/>
  <c r="G11" i="9"/>
  <c r="H11" i="9"/>
  <c r="I11" i="9"/>
  <c r="C97" i="9"/>
  <c r="D97" i="9"/>
  <c r="B97" i="9"/>
  <c r="H101" i="9"/>
  <c r="I101" i="9"/>
  <c r="G101" i="9"/>
  <c r="J165" i="3"/>
  <c r="K165" i="3"/>
  <c r="J64" i="3"/>
  <c r="K64" i="3"/>
  <c r="J117" i="3"/>
  <c r="K117" i="3"/>
  <c r="K118" i="3"/>
  <c r="J118" i="3"/>
  <c r="K119" i="3"/>
  <c r="J119" i="3"/>
  <c r="K105" i="3"/>
  <c r="J105" i="3"/>
  <c r="K175" i="3"/>
  <c r="J175" i="3"/>
  <c r="K143" i="3"/>
  <c r="J143" i="3"/>
  <c r="K114" i="3"/>
  <c r="J114" i="3"/>
  <c r="J60" i="3"/>
  <c r="K60" i="3"/>
  <c r="K204" i="3"/>
  <c r="J204" i="3"/>
  <c r="J31" i="3"/>
  <c r="K31" i="3"/>
  <c r="J181" i="3"/>
  <c r="K181" i="3"/>
  <c r="K183" i="3"/>
  <c r="J183" i="3"/>
  <c r="I114" i="9"/>
  <c r="G114" i="9"/>
  <c r="H114" i="9"/>
  <c r="D46" i="9"/>
  <c r="B46" i="9"/>
  <c r="C46" i="9"/>
  <c r="G19" i="9"/>
  <c r="H19" i="9"/>
  <c r="I19" i="9"/>
  <c r="B107" i="9"/>
  <c r="C107" i="9"/>
  <c r="D107" i="9"/>
  <c r="I75" i="9"/>
  <c r="G75" i="9"/>
  <c r="H75" i="9"/>
  <c r="C44" i="9"/>
  <c r="B44" i="9"/>
  <c r="D44" i="9"/>
  <c r="G97" i="9"/>
  <c r="I97" i="9"/>
  <c r="H97" i="9"/>
  <c r="H109" i="9"/>
  <c r="I109" i="9"/>
  <c r="G109" i="9"/>
  <c r="I124" i="9"/>
  <c r="G124" i="9"/>
  <c r="H124" i="9"/>
  <c r="C20" i="9"/>
  <c r="B20" i="9"/>
  <c r="D20" i="9"/>
  <c r="G98" i="9"/>
  <c r="I98" i="9"/>
  <c r="H98" i="9"/>
  <c r="C51" i="9"/>
  <c r="B51" i="9"/>
  <c r="D51" i="9"/>
  <c r="D123" i="9"/>
  <c r="B123" i="9"/>
  <c r="C123" i="9"/>
  <c r="D59" i="9"/>
  <c r="B59" i="9"/>
  <c r="C59" i="9"/>
  <c r="G49" i="9"/>
  <c r="H49" i="9"/>
  <c r="I49" i="9"/>
  <c r="H119" i="9"/>
  <c r="I119" i="9"/>
  <c r="G119" i="9"/>
  <c r="C25" i="9"/>
  <c r="B25" i="9"/>
  <c r="D25" i="9"/>
  <c r="I18" i="9"/>
  <c r="G18" i="9"/>
  <c r="H18" i="9"/>
  <c r="D104" i="9"/>
  <c r="B104" i="9"/>
  <c r="C104" i="9"/>
  <c r="B113" i="9"/>
  <c r="C113" i="9"/>
  <c r="D113" i="9"/>
  <c r="J195" i="3"/>
  <c r="K195" i="3"/>
  <c r="K90" i="3"/>
  <c r="J90" i="3"/>
  <c r="K134" i="3"/>
  <c r="J134" i="3"/>
  <c r="J135" i="3"/>
  <c r="K135" i="3"/>
  <c r="J136" i="3"/>
  <c r="K136" i="3"/>
  <c r="J122" i="3"/>
  <c r="K122" i="3"/>
  <c r="K190" i="3"/>
  <c r="J190" i="3"/>
  <c r="J158" i="3"/>
  <c r="K158" i="3"/>
  <c r="K127" i="3"/>
  <c r="J127" i="3"/>
  <c r="J72" i="3"/>
  <c r="K72" i="3"/>
  <c r="K19" i="3"/>
  <c r="J19" i="3"/>
  <c r="K14" i="3"/>
  <c r="J14" i="3"/>
  <c r="I42" i="9"/>
  <c r="H42" i="9"/>
  <c r="G42" i="9"/>
  <c r="I65" i="9"/>
  <c r="G65" i="9"/>
  <c r="H65" i="9"/>
  <c r="C35" i="9"/>
  <c r="B35" i="9"/>
  <c r="D35" i="9"/>
  <c r="I128" i="9"/>
  <c r="G128" i="9"/>
  <c r="H128" i="9"/>
  <c r="I92" i="9"/>
  <c r="G92" i="9"/>
  <c r="H92" i="9"/>
  <c r="C60" i="9"/>
  <c r="D60" i="9"/>
  <c r="B60" i="9"/>
  <c r="D109" i="9"/>
  <c r="B109" i="9"/>
  <c r="C109" i="9"/>
  <c r="B124" i="9"/>
  <c r="C124" i="9"/>
  <c r="D124" i="9"/>
  <c r="B14" i="9"/>
  <c r="C14" i="9"/>
  <c r="D14" i="9"/>
  <c r="D77" i="9"/>
  <c r="B77" i="9"/>
  <c r="C77" i="9"/>
  <c r="H26" i="9"/>
  <c r="G26" i="9"/>
  <c r="I26" i="9"/>
  <c r="H105" i="9"/>
  <c r="G105" i="9"/>
  <c r="I105" i="9"/>
  <c r="D57" i="9"/>
  <c r="C57" i="9"/>
  <c r="B57" i="9"/>
  <c r="D129" i="9"/>
  <c r="B129" i="9"/>
  <c r="C129" i="9"/>
  <c r="H51" i="9"/>
  <c r="I51" i="9"/>
  <c r="G51" i="9"/>
  <c r="B42" i="9"/>
  <c r="C42" i="9"/>
  <c r="D42" i="9"/>
  <c r="I110" i="9"/>
  <c r="G110" i="9"/>
  <c r="H110" i="9"/>
  <c r="I17" i="9"/>
  <c r="H17" i="9"/>
  <c r="G17" i="9"/>
  <c r="G25" i="9"/>
  <c r="H25" i="9"/>
  <c r="I25" i="9"/>
  <c r="H111" i="9"/>
  <c r="G111" i="9"/>
  <c r="I111" i="9"/>
  <c r="H123" i="9"/>
  <c r="G123" i="9"/>
  <c r="I123" i="9"/>
  <c r="J30" i="3"/>
  <c r="K30" i="3"/>
  <c r="J111" i="3"/>
  <c r="K111" i="3"/>
  <c r="J150" i="3"/>
  <c r="K150" i="3"/>
  <c r="J151" i="3"/>
  <c r="K151" i="3"/>
  <c r="J152" i="3"/>
  <c r="K152" i="3"/>
  <c r="J138" i="3"/>
  <c r="K138" i="3"/>
  <c r="J207" i="3"/>
  <c r="K207" i="3"/>
  <c r="J172" i="3"/>
  <c r="K172" i="3"/>
  <c r="K140" i="3"/>
  <c r="J140" i="3"/>
  <c r="J84" i="3"/>
  <c r="K84" i="3"/>
  <c r="K50" i="3"/>
  <c r="J50" i="3"/>
  <c r="J44" i="3"/>
  <c r="K44" i="3"/>
  <c r="K161" i="3"/>
  <c r="J161" i="3"/>
  <c r="C82" i="9"/>
  <c r="B82" i="9"/>
  <c r="D82" i="9"/>
  <c r="I53" i="9"/>
  <c r="G53" i="9"/>
  <c r="H53" i="9"/>
  <c r="D22" i="9"/>
  <c r="B22" i="9"/>
  <c r="C22" i="9"/>
  <c r="H113" i="9"/>
  <c r="G113" i="9"/>
  <c r="I113" i="9"/>
  <c r="B78" i="9"/>
  <c r="C78" i="9"/>
  <c r="D78" i="9"/>
  <c r="I122" i="9"/>
  <c r="G122" i="9"/>
  <c r="H122" i="9"/>
  <c r="D6" i="9"/>
  <c r="B6" i="9"/>
  <c r="C6" i="9"/>
  <c r="D24" i="9"/>
  <c r="B24" i="9"/>
  <c r="C24" i="9"/>
  <c r="H7" i="9"/>
  <c r="G7" i="9"/>
  <c r="I7" i="9"/>
  <c r="G33" i="9"/>
  <c r="H33" i="9"/>
  <c r="I33" i="9"/>
  <c r="B112" i="9"/>
  <c r="C112" i="9"/>
  <c r="D112" i="9"/>
  <c r="D63" i="9"/>
  <c r="B63" i="9"/>
  <c r="C63" i="9"/>
  <c r="H43" i="9"/>
  <c r="G43" i="9"/>
  <c r="I43" i="9"/>
  <c r="H127" i="9"/>
  <c r="I127" i="9"/>
  <c r="G127" i="9"/>
  <c r="I34" i="9"/>
  <c r="G34" i="9"/>
  <c r="H34" i="9"/>
  <c r="C103" i="9"/>
  <c r="D103" i="9"/>
  <c r="B103" i="9"/>
  <c r="B10" i="9"/>
  <c r="D10" i="9"/>
  <c r="C10" i="9"/>
  <c r="H32" i="9"/>
  <c r="G32" i="9"/>
  <c r="I32" i="9"/>
  <c r="D119" i="9"/>
  <c r="C119" i="9"/>
  <c r="B119" i="9"/>
  <c r="D8" i="9"/>
  <c r="B8" i="9"/>
  <c r="C8" i="9"/>
  <c r="H76" i="9"/>
  <c r="G76" i="9"/>
  <c r="I76" i="9"/>
  <c r="K51" i="3"/>
  <c r="J51" i="3"/>
  <c r="J139" i="3"/>
  <c r="K139" i="3"/>
  <c r="J167" i="3"/>
  <c r="K167" i="3"/>
  <c r="K169" i="3"/>
  <c r="J169" i="3"/>
  <c r="K170" i="3"/>
  <c r="J170" i="3"/>
  <c r="J155" i="3"/>
  <c r="K155" i="3"/>
  <c r="K15" i="3"/>
  <c r="J15" i="3"/>
  <c r="K186" i="3"/>
  <c r="J186" i="3"/>
  <c r="K153" i="3"/>
  <c r="J153" i="3"/>
  <c r="J96" i="3"/>
  <c r="K96" i="3"/>
  <c r="K130" i="3"/>
  <c r="J130" i="3"/>
  <c r="J80" i="3"/>
  <c r="K80" i="3"/>
  <c r="J76" i="3"/>
  <c r="K76" i="3"/>
  <c r="K106" i="3"/>
  <c r="J106" i="3"/>
  <c r="D12" i="9"/>
  <c r="C12" i="9"/>
  <c r="B12" i="9"/>
  <c r="D102" i="9"/>
  <c r="C102" i="9"/>
  <c r="B102" i="9"/>
  <c r="D68" i="9"/>
  <c r="C68" i="9"/>
  <c r="B68" i="9"/>
  <c r="C37" i="9"/>
  <c r="D37" i="9"/>
  <c r="B37" i="9"/>
  <c r="G8" i="9"/>
  <c r="I8" i="9"/>
  <c r="H8" i="9"/>
  <c r="C95" i="9"/>
  <c r="D95" i="9"/>
  <c r="B95" i="9"/>
  <c r="H5" i="9"/>
  <c r="I5" i="9"/>
  <c r="G5" i="9"/>
  <c r="H16" i="9"/>
  <c r="G16" i="9"/>
  <c r="I16" i="9"/>
  <c r="G36" i="9"/>
  <c r="H36" i="9"/>
  <c r="I36" i="9"/>
  <c r="H93" i="9"/>
  <c r="I93" i="9"/>
  <c r="G93" i="9"/>
  <c r="H87" i="9"/>
  <c r="I87" i="9"/>
  <c r="G87" i="9"/>
  <c r="C40" i="9"/>
  <c r="D40" i="9"/>
  <c r="B40" i="9"/>
  <c r="I118" i="9"/>
  <c r="G118" i="9"/>
  <c r="H118" i="9"/>
  <c r="C69" i="9"/>
  <c r="B69" i="9"/>
  <c r="D69" i="9"/>
  <c r="G129" i="9"/>
  <c r="H129" i="9"/>
  <c r="I129" i="9"/>
  <c r="D36" i="9"/>
  <c r="B36" i="9"/>
  <c r="C36" i="9"/>
  <c r="B120" i="9"/>
  <c r="C120" i="9"/>
  <c r="D120" i="9"/>
  <c r="D26" i="9"/>
  <c r="C26" i="9"/>
  <c r="B26" i="9"/>
  <c r="I95" i="9"/>
  <c r="H95" i="9"/>
  <c r="G95" i="9"/>
  <c r="H40" i="9"/>
  <c r="I40" i="9"/>
  <c r="G40" i="9"/>
  <c r="B126" i="9"/>
  <c r="C126" i="9"/>
  <c r="D126" i="9"/>
  <c r="C19" i="9"/>
  <c r="D19" i="9"/>
  <c r="B19" i="9"/>
  <c r="C86" i="9"/>
  <c r="B86" i="9"/>
  <c r="D86" i="9"/>
  <c r="K77" i="3"/>
  <c r="J77" i="3"/>
  <c r="J163" i="3"/>
  <c r="K163" i="3"/>
  <c r="J184" i="3"/>
  <c r="K184" i="3"/>
  <c r="K185" i="3"/>
  <c r="J185" i="3"/>
  <c r="K187" i="3"/>
  <c r="J187" i="3"/>
  <c r="J173" i="3"/>
  <c r="K173" i="3"/>
  <c r="K29" i="3"/>
  <c r="J29" i="3"/>
  <c r="K200" i="3"/>
  <c r="J200" i="3"/>
  <c r="K166" i="3"/>
  <c r="J166" i="3"/>
  <c r="K108" i="3"/>
  <c r="J108" i="3"/>
  <c r="K78" i="3"/>
  <c r="J78" i="3"/>
  <c r="K113" i="3"/>
  <c r="J113" i="3"/>
  <c r="K107" i="3"/>
  <c r="J107" i="3"/>
  <c r="K61" i="3"/>
  <c r="J61" i="3"/>
  <c r="G30" i="9"/>
  <c r="H30" i="9"/>
  <c r="I30" i="9"/>
  <c r="C118" i="9"/>
  <c r="D118" i="9"/>
  <c r="B118" i="9"/>
  <c r="C89" i="9"/>
  <c r="D89" i="9"/>
  <c r="B89" i="9"/>
  <c r="D55" i="9"/>
  <c r="B55" i="9"/>
  <c r="C55" i="9"/>
  <c r="H23" i="9"/>
  <c r="I23" i="9"/>
  <c r="G23" i="9"/>
  <c r="H115" i="9"/>
  <c r="G115" i="9"/>
  <c r="I115" i="9"/>
  <c r="C16" i="9"/>
  <c r="D16" i="9"/>
  <c r="B16" i="9"/>
  <c r="C29" i="9"/>
  <c r="D29" i="9"/>
  <c r="B29" i="9"/>
  <c r="C47" i="9"/>
  <c r="D47" i="9"/>
  <c r="B47" i="9"/>
  <c r="B30" i="9"/>
  <c r="C30" i="9"/>
  <c r="D30" i="9"/>
  <c r="C23" i="9"/>
  <c r="D23" i="9"/>
  <c r="B23" i="9"/>
  <c r="C17" i="9"/>
  <c r="B17" i="9"/>
  <c r="D17" i="9"/>
  <c r="H78" i="9"/>
  <c r="I78" i="9"/>
  <c r="G78" i="9"/>
  <c r="C56" i="9"/>
  <c r="B56" i="9"/>
  <c r="D56" i="9"/>
  <c r="G46" i="9"/>
  <c r="H46" i="9"/>
  <c r="I46" i="9"/>
  <c r="C125" i="9"/>
  <c r="B125" i="9"/>
  <c r="D125" i="9"/>
  <c r="B75" i="9"/>
  <c r="C75" i="9"/>
  <c r="D75" i="9"/>
  <c r="H121" i="9"/>
  <c r="G121" i="9"/>
  <c r="I121" i="9"/>
  <c r="I28" i="9"/>
  <c r="H28" i="9"/>
  <c r="G28" i="9"/>
  <c r="I112" i="9"/>
  <c r="G112" i="9"/>
  <c r="H112" i="9"/>
  <c r="B18" i="9"/>
  <c r="C18" i="9"/>
  <c r="D18" i="9"/>
  <c r="B88" i="9"/>
  <c r="C88" i="9"/>
  <c r="D88" i="9"/>
  <c r="G47" i="9"/>
  <c r="H47" i="9"/>
  <c r="I47" i="9"/>
  <c r="I29" i="9"/>
  <c r="H29" i="9"/>
  <c r="G29" i="9"/>
  <c r="H96" i="9"/>
  <c r="G96" i="9"/>
  <c r="I96" i="9"/>
  <c r="J98" i="3"/>
  <c r="K98" i="3"/>
  <c r="K191" i="3"/>
  <c r="J191" i="3"/>
  <c r="K201" i="3"/>
  <c r="J201" i="3"/>
  <c r="K202" i="3"/>
  <c r="J202" i="3"/>
  <c r="K203" i="3"/>
  <c r="J203" i="3"/>
  <c r="K189" i="3"/>
  <c r="J189" i="3"/>
  <c r="K43" i="3"/>
  <c r="J43" i="3"/>
  <c r="K22" i="3"/>
  <c r="J22" i="3"/>
  <c r="K179" i="3"/>
  <c r="J179" i="3"/>
  <c r="K120" i="3"/>
  <c r="J120" i="3"/>
  <c r="K32" i="3"/>
  <c r="J32" i="3"/>
  <c r="J148" i="3"/>
  <c r="K148" i="3"/>
  <c r="K141" i="3"/>
  <c r="J141" i="3"/>
  <c r="K13" i="3"/>
  <c r="J13" i="3"/>
  <c r="G45" i="9"/>
  <c r="H45" i="9"/>
  <c r="I45" i="9"/>
  <c r="G14" i="9"/>
  <c r="I14" i="9"/>
  <c r="H14" i="9"/>
  <c r="D106" i="9"/>
  <c r="B106" i="9"/>
  <c r="C106" i="9"/>
  <c r="D71" i="9"/>
  <c r="B71" i="9"/>
  <c r="C71" i="9"/>
  <c r="C43" i="9"/>
  <c r="D43" i="9"/>
  <c r="B43" i="9"/>
  <c r="I15" i="9"/>
  <c r="G15" i="9"/>
  <c r="H15" i="9"/>
  <c r="B28" i="9"/>
  <c r="C28" i="9"/>
  <c r="D28" i="9"/>
  <c r="I39" i="9"/>
  <c r="G39" i="9"/>
  <c r="H39" i="9"/>
  <c r="G58" i="9"/>
  <c r="I58" i="9"/>
  <c r="H58" i="9"/>
  <c r="C11" i="9"/>
  <c r="D11" i="9"/>
  <c r="B11" i="9"/>
  <c r="C53" i="9"/>
  <c r="B53" i="9"/>
  <c r="D53" i="9"/>
  <c r="C9" i="9"/>
  <c r="B9" i="9"/>
  <c r="D9" i="9"/>
  <c r="C81" i="9"/>
  <c r="B81" i="9"/>
  <c r="D81" i="9"/>
  <c r="C114" i="9"/>
  <c r="D114" i="9"/>
  <c r="B114" i="9"/>
  <c r="H20" i="9"/>
  <c r="I20" i="9"/>
  <c r="G20" i="9"/>
  <c r="H103" i="9"/>
  <c r="I103" i="9"/>
  <c r="G103" i="9"/>
  <c r="H10" i="9"/>
  <c r="G10" i="9"/>
  <c r="I10" i="9"/>
  <c r="B80" i="9"/>
  <c r="D80" i="9"/>
  <c r="C80" i="9"/>
  <c r="H54" i="9"/>
  <c r="G54" i="9"/>
  <c r="I54" i="9"/>
  <c r="G38" i="9"/>
  <c r="I38" i="9"/>
  <c r="H38" i="9"/>
  <c r="H107" i="9"/>
  <c r="I107" i="9"/>
  <c r="G107" i="9"/>
  <c r="J125" i="3"/>
  <c r="K125" i="3"/>
  <c r="K20" i="3"/>
  <c r="J20" i="3"/>
  <c r="K21" i="3"/>
  <c r="J21" i="3"/>
  <c r="J23" i="3"/>
  <c r="K23" i="3"/>
  <c r="K10" i="3"/>
  <c r="J10" i="3"/>
  <c r="J208" i="3"/>
  <c r="K208" i="3"/>
  <c r="J57" i="3"/>
  <c r="K57" i="3"/>
  <c r="K35" i="3"/>
  <c r="J35" i="3"/>
  <c r="K193" i="3"/>
  <c r="J193" i="3"/>
  <c r="K132" i="3"/>
  <c r="J132" i="3"/>
  <c r="K182" i="3"/>
  <c r="J182" i="3"/>
  <c r="K176" i="3"/>
  <c r="J176" i="3"/>
  <c r="D64" i="9"/>
  <c r="B64" i="9"/>
  <c r="C64" i="9"/>
  <c r="I31" i="9"/>
  <c r="G31" i="9"/>
  <c r="H31" i="9"/>
  <c r="I126" i="9"/>
  <c r="G126" i="9"/>
  <c r="H126" i="9"/>
  <c r="C91" i="9"/>
  <c r="D91" i="9"/>
  <c r="B91" i="9"/>
  <c r="D58" i="9"/>
  <c r="B58" i="9"/>
  <c r="C58" i="9"/>
  <c r="H27" i="9"/>
  <c r="I27" i="9"/>
  <c r="G27" i="9"/>
  <c r="B38" i="9"/>
  <c r="C38" i="9"/>
  <c r="D38" i="9"/>
  <c r="C52" i="9"/>
  <c r="B52" i="9"/>
  <c r="D52" i="9"/>
  <c r="B70" i="9"/>
  <c r="C70" i="9"/>
  <c r="D70" i="9"/>
  <c r="H59" i="9"/>
  <c r="G59" i="9"/>
  <c r="I59" i="9"/>
  <c r="C15" i="9"/>
  <c r="B15" i="9"/>
  <c r="D15" i="9"/>
  <c r="C87" i="9"/>
  <c r="B87" i="9"/>
  <c r="D87" i="9"/>
  <c r="I106" i="9"/>
  <c r="H106" i="9"/>
  <c r="G106" i="9"/>
  <c r="G12" i="9"/>
  <c r="H12" i="9"/>
  <c r="I12" i="9"/>
  <c r="D96" i="9"/>
  <c r="B96" i="9"/>
  <c r="C96" i="9"/>
  <c r="C72" i="9"/>
  <c r="D72" i="9"/>
  <c r="B72" i="9"/>
  <c r="I61" i="9"/>
  <c r="H61" i="9"/>
  <c r="G61" i="9"/>
  <c r="C50" i="9"/>
  <c r="D50" i="9"/>
  <c r="B50" i="9"/>
  <c r="I116" i="9"/>
  <c r="H116" i="9"/>
  <c r="G116" i="9"/>
  <c r="J45" i="3"/>
  <c r="K45" i="3"/>
  <c r="J149" i="3"/>
  <c r="K149" i="3"/>
  <c r="J37" i="3"/>
  <c r="K37" i="3"/>
  <c r="K38" i="3"/>
  <c r="J38" i="3"/>
  <c r="J39" i="3"/>
  <c r="K39" i="3"/>
  <c r="K26" i="3"/>
  <c r="J26" i="3"/>
  <c r="J97" i="3"/>
  <c r="K97" i="3"/>
  <c r="K71" i="3"/>
  <c r="J71" i="3"/>
  <c r="K49" i="3"/>
  <c r="J49" i="3"/>
  <c r="K206" i="3"/>
  <c r="J206" i="3"/>
  <c r="J144" i="3"/>
  <c r="K144" i="3"/>
  <c r="K18" i="3"/>
  <c r="J18" i="3"/>
  <c r="K25" i="3"/>
  <c r="J25" i="3"/>
  <c r="J123" i="3"/>
  <c r="K123" i="3"/>
  <c r="K197" i="3"/>
  <c r="J197" i="3"/>
  <c r="I79" i="9"/>
  <c r="H79" i="9"/>
  <c r="G79" i="9"/>
  <c r="B48" i="9"/>
  <c r="C48" i="9"/>
  <c r="D48" i="9"/>
  <c r="I21" i="9"/>
  <c r="H21" i="9"/>
  <c r="G21" i="9"/>
  <c r="I108" i="9"/>
  <c r="G108" i="9"/>
  <c r="H108" i="9"/>
  <c r="I77" i="9"/>
  <c r="G77" i="9"/>
  <c r="H77" i="9"/>
  <c r="H37" i="9"/>
  <c r="G37" i="9"/>
  <c r="I37" i="9"/>
  <c r="H50" i="9"/>
  <c r="G50" i="9"/>
  <c r="I50" i="9"/>
  <c r="H62" i="9"/>
  <c r="G62" i="9"/>
  <c r="I62" i="9"/>
  <c r="G83" i="9"/>
  <c r="I83" i="9"/>
  <c r="H83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Alcino Pereira</author>
  </authors>
  <commentList>
    <comment ref="B6" authorId="0" shapeId="0" xr:uid="{00000000-0006-0000-0000-000001000000}">
      <text>
        <r>
          <rPr>
            <b/>
            <sz val="9"/>
            <color rgb="FF000000"/>
            <rFont val="Arial"/>
            <family val="2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Alcino Pereira</author>
  </authors>
  <commentList>
    <comment ref="B2" authorId="0" shapeId="0" xr:uid="{00000000-0006-0000-0200-000001000000}">
      <text>
        <r>
          <rPr>
            <b/>
            <sz val="9"/>
            <color indexed="81"/>
            <rFont val="Arial"/>
            <family val="2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<sst xmlns="http://schemas.openxmlformats.org/spreadsheetml/2006/main" count="11437" uniqueCount="1718">
  <si>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</si>
  <si>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</si>
  <si>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</si>
  <si>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</si>
  <si>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</si>
  <si>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</si>
  <si>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</si>
  <si>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</si>
  <si>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</si>
  <si>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</si>
  <si>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</si>
  <si>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</si>
  <si>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</si>
  <si>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</si>
  <si>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</si>
  <si>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</si>
  <si>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</si>
  <si>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</si>
  <si>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</si>
  <si>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</si>
  <si>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</si>
  <si>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</si>
  <si>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</si>
  <si>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</si>
  <si>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</si>
  <si>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</si>
  <si>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</si>
  <si>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</si>
  <si>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</si>
  <si>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</si>
  <si>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</si>
  <si>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</si>
  <si>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</si>
  <si>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</si>
  <si>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</si>
  <si>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</si>
  <si>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</si>
  <si>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</si>
  <si>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</si>
  <si>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</si>
  <si>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</si>
  <si>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</si>
  <si>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</si>
  <si>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</si>
  <si>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</si>
  <si>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</si>
  <si>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</si>
  <si>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</si>
  <si>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</si>
  <si>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</si>
  <si>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</si>
  <si>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</si>
  <si>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</si>
  <si>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</si>
  <si>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</si>
  <si>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</si>
  <si>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</si>
  <si>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</si>
  <si>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</si>
  <si>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</si>
  <si>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</si>
  <si>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</si>
  <si>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</si>
  <si>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</si>
  <si>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</si>
  <si>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</si>
  <si>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</si>
  <si>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</si>
  <si>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</si>
  <si>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</si>
  <si>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</si>
  <si>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</si>
  <si>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</si>
  <si>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</si>
  <si>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</si>
  <si>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</si>
  <si>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</si>
  <si>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</si>
  <si>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</si>
  <si>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</si>
  <si>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</si>
  <si>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</si>
  <si>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</si>
  <si>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</si>
  <si>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</si>
  <si>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</si>
  <si>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</si>
  <si>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</si>
  <si>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</si>
  <si>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</si>
  <si>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</si>
  <si>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</si>
  <si>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</si>
  <si>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Duarte Coelho</t>
  </si>
  <si>
    <t>Paulo Macedo</t>
  </si>
  <si>
    <t>Ricardo Crespo</t>
  </si>
  <si>
    <t>Ulisses Tavares</t>
  </si>
  <si>
    <t>ADRAP</t>
  </si>
  <si>
    <t>Andreia Freitas</t>
  </si>
  <si>
    <t>Augusto Fontes</t>
  </si>
  <si>
    <t>Bruno Silva</t>
  </si>
  <si>
    <t>Camila João</t>
  </si>
  <si>
    <t>Carina Araújo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</si>
  <si>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</si>
  <si>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</si>
  <si>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</si>
  <si>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</si>
  <si>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</si>
  <si>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</si>
  <si>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Gabriel Silva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</si>
  <si>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</si>
  <si>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</si>
  <si>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</si>
  <si>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</si>
  <si>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</si>
  <si>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</si>
  <si>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Lúcia Santos</t>
  </si>
  <si>
    <t>Mariana Mendonça</t>
  </si>
  <si>
    <t>Paulo Neto</t>
  </si>
  <si>
    <t>Roberto Faria</t>
  </si>
  <si>
    <t>Rodolfo Alves</t>
  </si>
  <si>
    <t>Rubim Gonçalves</t>
  </si>
  <si>
    <t>Sara Rodrigues</t>
  </si>
  <si>
    <t>AJS</t>
  </si>
  <si>
    <t>CSM</t>
  </si>
  <si>
    <t>GDE</t>
  </si>
  <si>
    <t>1- Selecionar o CLUBE e os NOMES a partir das listas</t>
  </si>
  <si>
    <t>Escalão</t>
  </si>
  <si>
    <t>Luna Andrade</t>
  </si>
  <si>
    <t>Sara Fernandes</t>
  </si>
  <si>
    <t>Bruno Pita</t>
  </si>
  <si>
    <t>Corta-Mato</t>
  </si>
  <si>
    <t>Décio Gaspar</t>
  </si>
  <si>
    <t>Adília Fernandes</t>
  </si>
  <si>
    <t>Beatriz A. Freitas</t>
  </si>
  <si>
    <t>Bruno Faria</t>
  </si>
  <si>
    <t>Carlos Nóbrega</t>
  </si>
  <si>
    <t>Inês Abreu</t>
  </si>
  <si>
    <t>Luísa Pinto</t>
  </si>
  <si>
    <t>Marco Barros</t>
  </si>
  <si>
    <t>Óscar Correia</t>
  </si>
  <si>
    <t>Pedro Costa</t>
  </si>
  <si>
    <t>Sérgio Jesus</t>
  </si>
  <si>
    <t>CAFH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</si>
  <si>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</si>
  <si>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</si>
  <si>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</si>
  <si>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</si>
  <si>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</si>
  <si>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</si>
  <si>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</si>
  <si>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</si>
  <si>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ARCA-M</t>
  </si>
  <si>
    <t>CDI-M</t>
  </si>
  <si>
    <t>Nuno M. Silva</t>
  </si>
  <si>
    <t>Marco Ferreira</t>
  </si>
  <si>
    <t>CCDCMF</t>
  </si>
  <si>
    <t>CFCARV</t>
  </si>
  <si>
    <t>CAMAD</t>
  </si>
  <si>
    <t>ADG</t>
  </si>
  <si>
    <t>Olívia Sousa</t>
  </si>
  <si>
    <t>CPC-M</t>
  </si>
  <si>
    <t>Anne Marchington</t>
  </si>
  <si>
    <t>Vanda Abreu</t>
  </si>
  <si>
    <t>CPCL</t>
  </si>
  <si>
    <t>ATLAFA</t>
  </si>
  <si>
    <t>CPPM</t>
  </si>
  <si>
    <t>Bruno Dantas</t>
  </si>
  <si>
    <t>MTT</t>
  </si>
  <si>
    <t>CKC</t>
  </si>
  <si>
    <t>CCDTHF</t>
  </si>
  <si>
    <t>CDES</t>
  </si>
  <si>
    <t>Total</t>
  </si>
  <si>
    <t>Sum of Dorsal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</si>
  <si>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</si>
  <si>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</si>
  <si>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</si>
  <si>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</si>
  <si>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</si>
  <si>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</si>
  <si>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</si>
  <si>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</si>
  <si>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Joana F. Sousa</t>
  </si>
  <si>
    <t>Lenka Mendonça</t>
  </si>
  <si>
    <t>Sandra Gonçalves</t>
  </si>
  <si>
    <t>Américo Caldeira</t>
  </si>
  <si>
    <t>António Jardim</t>
  </si>
  <si>
    <t>António Mendonça</t>
  </si>
  <si>
    <t>Carlos Moço</t>
  </si>
  <si>
    <t>Duarte Andrade</t>
  </si>
  <si>
    <t>Duarte Câmara</t>
  </si>
  <si>
    <t>Élvio Silva</t>
  </si>
  <si>
    <t>Emídio Rodrigues</t>
  </si>
  <si>
    <t>Énio Silva</t>
  </si>
  <si>
    <t>Fernando Faria</t>
  </si>
  <si>
    <t>Ivan Nunes</t>
  </si>
  <si>
    <t>João Abel Melim</t>
  </si>
  <si>
    <t>Jorge Botelho</t>
  </si>
  <si>
    <t>José Carvalho</t>
  </si>
  <si>
    <t>Manuel Andrade</t>
  </si>
  <si>
    <t>Marco Brás</t>
  </si>
  <si>
    <t>Miguel Passos</t>
  </si>
  <si>
    <t>Nuno Silva</t>
  </si>
  <si>
    <t>Ricardo H. Gouveia</t>
  </si>
  <si>
    <t>Roberto Solano</t>
  </si>
  <si>
    <t>Rosalina Gouveia</t>
  </si>
  <si>
    <t>António Olival</t>
  </si>
  <si>
    <t>Edson Pereira</t>
  </si>
  <si>
    <t>João M. Gomes</t>
  </si>
  <si>
    <t>José Ribeiro</t>
  </si>
  <si>
    <t>Miguel Gonçalves</t>
  </si>
  <si>
    <t>Ricardo Fontes</t>
  </si>
  <si>
    <t>Carlos Fernandes</t>
  </si>
  <si>
    <t>Duarte Costa</t>
  </si>
  <si>
    <t>Francisco J. Correia</t>
  </si>
  <si>
    <t>José António Spínola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</si>
  <si>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</si>
  <si>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</si>
  <si>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</si>
  <si>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</si>
  <si>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</si>
  <si>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</si>
  <si>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</si>
  <si>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</si>
  <si>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</si>
  <si>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</si>
  <si>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</si>
  <si>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Sérgio Silva</t>
  </si>
  <si>
    <t>Marcelo Vieira</t>
  </si>
  <si>
    <t>Orlando Ascensão</t>
  </si>
  <si>
    <t>Paulo Nuno Santos</t>
  </si>
  <si>
    <t>António Rosa</t>
  </si>
  <si>
    <t>Luís Miguel Mendes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</si>
  <si>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</si>
  <si>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</si>
  <si>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</si>
  <si>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</si>
  <si>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</si>
  <si>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</si>
  <si>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</si>
  <si>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Maria Leonor Ferro</t>
  </si>
  <si>
    <t>Nélia Nascimento</t>
  </si>
  <si>
    <t>Sónia Freitas</t>
  </si>
  <si>
    <t>Avelino Freitas</t>
  </si>
  <si>
    <t>Miguel Bettencourt</t>
  </si>
  <si>
    <t>Nuno Figueira</t>
  </si>
  <si>
    <t>Paulo M. Gonçalves</t>
  </si>
  <si>
    <t>Rui Dias</t>
  </si>
  <si>
    <t>Alexandra Silva</t>
  </si>
  <si>
    <t>Filipa Freitas</t>
  </si>
  <si>
    <t>Bruno Viveiros</t>
  </si>
  <si>
    <t>Tiago Camacho</t>
  </si>
  <si>
    <t>Débora Mª Silva</t>
  </si>
  <si>
    <t>Milena Lucena</t>
  </si>
  <si>
    <t>Cláudio Prioste</t>
  </si>
  <si>
    <t>Humberto Pires</t>
  </si>
  <si>
    <t>Jorge Pestana</t>
  </si>
  <si>
    <t>Manuel Fernandes</t>
  </si>
  <si>
    <t>Paulo C. Gonçalves</t>
  </si>
  <si>
    <t>Roberto Prioste</t>
  </si>
  <si>
    <t>Dinarte Jesus</t>
  </si>
  <si>
    <t>Justino Nóbrega</t>
  </si>
  <si>
    <t>Marco Vieira</t>
  </si>
  <si>
    <t>Mário Freitas</t>
  </si>
  <si>
    <t>Paulo Milheiro</t>
  </si>
  <si>
    <t>Raúl Ribeiro</t>
  </si>
  <si>
    <t>Rui Martins</t>
  </si>
  <si>
    <t>Sérgio Perdigão</t>
  </si>
  <si>
    <t>Zequiel Freitas</t>
  </si>
  <si>
    <t>Alberto Drumond</t>
  </si>
  <si>
    <t>Juvenal Sousa</t>
  </si>
  <si>
    <t>Luís Barros</t>
  </si>
  <si>
    <t>Renato Teixeira</t>
  </si>
  <si>
    <t>Vítor Rodrigues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</si>
  <si>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</si>
  <si>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</si>
  <si>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</si>
  <si>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</si>
  <si>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</si>
  <si>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</si>
  <si>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</si>
  <si>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</si>
  <si>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</si>
  <si>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</si>
  <si>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Patrícia Telo</t>
  </si>
  <si>
    <t>Liliana R. Freitas</t>
  </si>
  <si>
    <t>Mariana Góis</t>
  </si>
  <si>
    <t>Bruno Góis</t>
  </si>
  <si>
    <t>Carlos Carichas</t>
  </si>
  <si>
    <t>João Prioste</t>
  </si>
  <si>
    <t>Marco Rosário</t>
  </si>
  <si>
    <t>Paulo F. Nóbrega</t>
  </si>
  <si>
    <t>Paulo Silva</t>
  </si>
  <si>
    <t>Pedro Prioste</t>
  </si>
  <si>
    <t>Carlos Oliveira</t>
  </si>
  <si>
    <t>Filipe Faria</t>
  </si>
  <si>
    <t>Francisco Viegas</t>
  </si>
  <si>
    <t>João Luís Fernandes</t>
  </si>
  <si>
    <t>Juan Gonçalves</t>
  </si>
  <si>
    <t>Luís Vasconcelos</t>
  </si>
  <si>
    <t>Maurício Santos</t>
  </si>
  <si>
    <t>Raul Goulart</t>
  </si>
  <si>
    <t>Rogério Nunes</t>
  </si>
  <si>
    <t>Filipe Belo</t>
  </si>
  <si>
    <t>Duarte Xavier</t>
  </si>
  <si>
    <t>João Vieira</t>
  </si>
  <si>
    <t>Dora Câmara</t>
  </si>
  <si>
    <t>Sónia Faria</t>
  </si>
  <si>
    <t>Narciso Chaves</t>
  </si>
  <si>
    <t>Luísa Freitas</t>
  </si>
  <si>
    <t>Cesénia Faria</t>
  </si>
  <si>
    <t>Laura Faia</t>
  </si>
  <si>
    <t>Agostinho Fernandes</t>
  </si>
  <si>
    <t>Carlos A. Faria</t>
  </si>
  <si>
    <t>Nelson Rosário</t>
  </si>
  <si>
    <t>Ricardo Correia</t>
  </si>
  <si>
    <t>Josefina Caires</t>
  </si>
  <si>
    <t>Álvaro Sousa</t>
  </si>
  <si>
    <t>António Ferreira</t>
  </si>
  <si>
    <t>José Carlos Silva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</si>
  <si>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</si>
  <si>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</si>
  <si>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</si>
  <si>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</si>
  <si>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</si>
  <si>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</si>
  <si>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</si>
  <si>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</si>
  <si>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</si>
  <si>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</si>
  <si>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</si>
  <si>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</si>
  <si>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</si>
  <si>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</si>
  <si>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</si>
  <si>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</si>
  <si>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</si>
  <si>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</si>
  <si>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</si>
  <si>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</si>
  <si>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</si>
  <si>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</si>
  <si>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</si>
  <si>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</si>
  <si>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</si>
  <si>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</si>
  <si>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</si>
  <si>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</si>
  <si>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</si>
  <si>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</si>
  <si>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</si>
  <si>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</si>
  <si>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</si>
  <si>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</si>
  <si>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</si>
  <si>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</si>
  <si>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</si>
  <si>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</si>
  <si>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</si>
  <si>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</si>
  <si>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</si>
  <si>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</si>
  <si>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</si>
  <si>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</si>
  <si>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</si>
  <si>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</si>
  <si>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</si>
  <si>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</si>
  <si>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</si>
  <si>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</si>
  <si>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</si>
  <si>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</si>
  <si>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</si>
  <si>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</si>
  <si>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</si>
  <si>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</si>
  <si>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</si>
  <si>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</si>
  <si>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</si>
  <si>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</si>
  <si>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</si>
  <si>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</si>
  <si>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</si>
  <si>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</si>
  <si>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</si>
  <si>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</si>
  <si>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</si>
  <si>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</si>
  <si>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</si>
  <si>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</si>
  <si>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Cláudio Jesus</t>
  </si>
  <si>
    <t>Fabiana Gonçalves</t>
  </si>
  <si>
    <t>Cristina Martins</t>
  </si>
  <si>
    <t>Virgílio Ornelas</t>
  </si>
  <si>
    <t>Bruno Teixeira</t>
  </si>
  <si>
    <t>Henrique Rosa</t>
  </si>
  <si>
    <t>João Mendonça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</si>
  <si>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</si>
  <si>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</si>
  <si>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</si>
  <si>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</si>
  <si>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</si>
  <si>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</si>
  <si>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</si>
  <si>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</si>
  <si>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Angelino Gonçalves</t>
  </si>
  <si>
    <t>CNSV</t>
  </si>
  <si>
    <t>Aldónio Aveiro</t>
  </si>
  <si>
    <t>SCSC</t>
  </si>
  <si>
    <t>Cristóvão Rodrigues</t>
  </si>
  <si>
    <t>Filipe Teles</t>
  </si>
  <si>
    <t>Tânia Gaspar</t>
  </si>
  <si>
    <t>João R. Pereira</t>
  </si>
  <si>
    <t>Marco Marques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</si>
  <si>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</si>
  <si>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</si>
  <si>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</si>
  <si>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</si>
  <si>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</si>
  <si>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</si>
  <si>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</si>
  <si>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Ricardo J. Quintal</t>
  </si>
  <si>
    <t>Miguel Dias</t>
  </si>
  <si>
    <t>Marisa Ascensão</t>
  </si>
  <si>
    <t>Diogo Costa</t>
  </si>
  <si>
    <t>Vítor Martins</t>
  </si>
  <si>
    <t>Márcio Coelho</t>
  </si>
  <si>
    <t>Ricardo Quintal</t>
  </si>
  <si>
    <t>Iulia Fuiorea</t>
  </si>
  <si>
    <t>Delina Gomes</t>
  </si>
  <si>
    <t>Nélia Gouveia</t>
  </si>
  <si>
    <t>Sandra Capontes</t>
  </si>
  <si>
    <t>Adérito Gouveia</t>
  </si>
  <si>
    <t>VALOUR</t>
  </si>
  <si>
    <t>Mauro Barros</t>
  </si>
  <si>
    <t>Tânia Garcês</t>
  </si>
  <si>
    <t>Samuel Silva</t>
  </si>
  <si>
    <t>CDCPM</t>
  </si>
  <si>
    <t>Maria João Camacho</t>
  </si>
  <si>
    <t>Diogo Andrade</t>
  </si>
  <si>
    <t>Élton Martins</t>
  </si>
  <si>
    <t>Marilisa Fernandes</t>
  </si>
  <si>
    <t>Luana Andreoli</t>
  </si>
  <si>
    <t>Filipe Mota</t>
  </si>
  <si>
    <t>Sílvia Sousa</t>
  </si>
  <si>
    <t>Estela Martins</t>
  </si>
  <si>
    <t>Gonçalo P. Silva</t>
  </si>
  <si>
    <t>Duarte Fernandes</t>
  </si>
  <si>
    <t>Jessie Serrão</t>
  </si>
  <si>
    <t>Clara Azevedo</t>
  </si>
  <si>
    <t>Fátima Fernandes</t>
  </si>
  <si>
    <t>Daniela M. Pinto</t>
  </si>
  <si>
    <t>Ana Beatriz Pinto</t>
  </si>
  <si>
    <t>César Ramos</t>
  </si>
  <si>
    <t>Eduardo Pestana</t>
  </si>
  <si>
    <t>Paulo Bruno Freitas</t>
  </si>
  <si>
    <t>Joaquim Sousa</t>
  </si>
  <si>
    <t>João Manuel Sousa</t>
  </si>
  <si>
    <t>Olívia Policarpo</t>
  </si>
  <si>
    <t>Alcídio Ferro</t>
  </si>
  <si>
    <t>Vítor M. Rodrigues</t>
  </si>
  <si>
    <t>Rosa Rodrigues</t>
  </si>
  <si>
    <t>Célio Silva</t>
  </si>
  <si>
    <t>Magno Rodrigues</t>
  </si>
  <si>
    <t>Duarte Camacho</t>
  </si>
  <si>
    <t>Teresa Coelho</t>
  </si>
  <si>
    <t>Mauro Câmara</t>
  </si>
  <si>
    <t>João André Silva</t>
  </si>
  <si>
    <t>Teodoto Silva</t>
  </si>
  <si>
    <t>Nuno Gomes</t>
  </si>
  <si>
    <t>Flávio Duarte Vieira</t>
  </si>
  <si>
    <t>Sidónio Freitas</t>
  </si>
  <si>
    <t>Maria João Abreu</t>
  </si>
  <si>
    <t>Ricardo D. Abreu</t>
  </si>
  <si>
    <t>Luzia Camacho</t>
  </si>
  <si>
    <t>James Góis</t>
  </si>
  <si>
    <t>Jorge Louro</t>
  </si>
  <si>
    <t>Carlos Figueiredo</t>
  </si>
  <si>
    <t>Guilherme Franco</t>
  </si>
  <si>
    <t>Eduardo Carvalho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</si>
  <si>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</si>
  <si>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</si>
  <si>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</si>
  <si>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</si>
  <si>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</si>
  <si>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</si>
  <si>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</si>
  <si>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</si>
  <si>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</si>
  <si>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</si>
  <si>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</si>
  <si>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</si>
  <si>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Ilda André</t>
  </si>
  <si>
    <t>Lisandra Tavares</t>
  </si>
  <si>
    <t>Rafael Rodrigues</t>
  </si>
  <si>
    <t>Luís T. Coelho</t>
  </si>
  <si>
    <t>Pedro Silva</t>
  </si>
  <si>
    <t>Nuno Castanha</t>
  </si>
  <si>
    <t>Nuno Tavares</t>
  </si>
  <si>
    <t>Gil Freitas</t>
  </si>
  <si>
    <t>Filipe Barreiro</t>
  </si>
  <si>
    <t>Dinarte Nunes</t>
  </si>
  <si>
    <t>João Quintaneiro</t>
  </si>
  <si>
    <t>José Abreu</t>
  </si>
  <si>
    <t>Rui Loureiro</t>
  </si>
  <si>
    <t>Emanuel Freitas</t>
  </si>
  <si>
    <t>Eusébio André</t>
  </si>
  <si>
    <t>Escalões</t>
  </si>
  <si>
    <t>CNF-SÉ</t>
  </si>
  <si>
    <t>APCTT</t>
  </si>
  <si>
    <t>CDEPC</t>
  </si>
  <si>
    <t>Nota: a informação está organizada a duas colunas, pelo que a listagem da coluna da direita continua na coluna da esquerda da página seguinte.</t>
  </si>
  <si>
    <t>Duarte N. Abreu</t>
  </si>
  <si>
    <t>Roberto Gouveia</t>
  </si>
  <si>
    <t>Tomás Carvalho</t>
  </si>
  <si>
    <t>Rute Camacho</t>
  </si>
  <si>
    <t>Carla Caires</t>
  </si>
  <si>
    <t>Mónica Castanha</t>
  </si>
  <si>
    <t>Bruno Faria Abreu</t>
  </si>
  <si>
    <t>Nélson C. Fernandes</t>
  </si>
  <si>
    <t>Pedro M. Pinto</t>
  </si>
  <si>
    <t>Miquelino Camacho</t>
  </si>
  <si>
    <t>Alcino Abreu</t>
  </si>
  <si>
    <t>José Mendonça Faria</t>
  </si>
  <si>
    <t>Urbano Faria</t>
  </si>
  <si>
    <t>Santiago Faria</t>
  </si>
  <si>
    <t>Mariana Oliveira</t>
  </si>
  <si>
    <t>Ricardo Baptista</t>
  </si>
  <si>
    <t>Dinarte Garcês</t>
  </si>
  <si>
    <t>Décio Santos</t>
  </si>
  <si>
    <t>Juliano Silva</t>
  </si>
  <si>
    <t>CDMS</t>
  </si>
  <si>
    <t>Amílcar Fernandes</t>
  </si>
  <si>
    <t>Bruno Pereira</t>
  </si>
  <si>
    <t>Marco P. Rodrigues</t>
  </si>
  <si>
    <t>Paula Pereira</t>
  </si>
  <si>
    <t>Rui Luís Coelho</t>
  </si>
  <si>
    <t>Eduardo Jardim</t>
  </si>
  <si>
    <t>Duarte Gil Pereira</t>
  </si>
  <si>
    <t>Jorge Mendes</t>
  </si>
  <si>
    <t>Marco Caires</t>
  </si>
  <si>
    <t>Margarida Góis</t>
  </si>
  <si>
    <t>Beatriz Melim</t>
  </si>
  <si>
    <t>Manuel Rocha</t>
  </si>
  <si>
    <t>Cátia Vieira</t>
  </si>
  <si>
    <t>CEE-M</t>
  </si>
  <si>
    <t>Cristina N. Freitas</t>
  </si>
  <si>
    <t>Solange Nunes</t>
  </si>
  <si>
    <t>Leonilde Nunes</t>
  </si>
  <si>
    <t>António Alves</t>
  </si>
  <si>
    <t>Pedro Tiago Pestana</t>
  </si>
  <si>
    <t>Hugo Batista</t>
  </si>
  <si>
    <t>Edna Rodrigues</t>
  </si>
  <si>
    <t>Gonçalo R. Gonçalves</t>
  </si>
  <si>
    <t>Élvio Henriques</t>
  </si>
  <si>
    <t>João Gil Pereira</t>
  </si>
  <si>
    <t>Domingos Rodrigues</t>
  </si>
  <si>
    <t>Sónia da Silva</t>
  </si>
  <si>
    <t>L. Filipe Rodrigues</t>
  </si>
  <si>
    <t>Diogo André Nóbrega</t>
  </si>
  <si>
    <t>Vítor Sousa</t>
  </si>
  <si>
    <t>José G. Carvalho</t>
  </si>
  <si>
    <t>Milha</t>
  </si>
  <si>
    <t>Énia Carmo</t>
  </si>
  <si>
    <t>Carlos Franco</t>
  </si>
  <si>
    <t>Hélvio Nascimento</t>
  </si>
  <si>
    <t>Manuel Sousa</t>
  </si>
  <si>
    <t>Ivo Figueira</t>
  </si>
  <si>
    <t>Rita Oliveira</t>
  </si>
  <si>
    <t>Pedro Vares</t>
  </si>
  <si>
    <t>Gonçalo Mendes</t>
  </si>
  <si>
    <t>Dina Capelo Silva</t>
  </si>
  <si>
    <t>Carlos Rodrigues</t>
  </si>
  <si>
    <t>Nuno Coelho</t>
  </si>
  <si>
    <t>João E. Andrade</t>
  </si>
  <si>
    <t>Gil Rosa</t>
  </si>
  <si>
    <t>Alírio Spínola</t>
  </si>
  <si>
    <t>Heliodoro Freitas</t>
  </si>
  <si>
    <t>Rui Neves</t>
  </si>
  <si>
    <t>Ricardo Moreira</t>
  </si>
  <si>
    <t>Herculana Sousa</t>
  </si>
  <si>
    <t>Carla V. Freitas</t>
  </si>
  <si>
    <t>Liliana Cardoso</t>
  </si>
  <si>
    <t>Nélia Batista</t>
  </si>
  <si>
    <t>Miguel Nóbrega</t>
  </si>
  <si>
    <t>Roberto S. Nóbrega</t>
  </si>
  <si>
    <t>Ricardo Gomes</t>
  </si>
  <si>
    <t>Cláudia Azevedo</t>
  </si>
  <si>
    <t>Eduardo Macedo</t>
  </si>
  <si>
    <t>Tiago F. Silva</t>
  </si>
  <si>
    <t>Manuel Almeida</t>
  </si>
  <si>
    <t>Leonel Gomes</t>
  </si>
  <si>
    <t>Telma Freitas</t>
  </si>
  <si>
    <t>Teresa Ornelas</t>
  </si>
  <si>
    <t>Sílvio Freitas</t>
  </si>
  <si>
    <t>Sérgio Aveiro</t>
  </si>
  <si>
    <t>Raquel Andrade</t>
  </si>
  <si>
    <t>Yuzi Abreu</t>
  </si>
  <si>
    <t>Raquel Franco</t>
  </si>
  <si>
    <t>Belinda Rodrigues</t>
  </si>
  <si>
    <t>Daniel Pereira</t>
  </si>
  <si>
    <t>Ricardo Matos</t>
  </si>
  <si>
    <t>Fernando Vieira</t>
  </si>
  <si>
    <t>Domingos Sousa</t>
  </si>
  <si>
    <t>Ricardo Faria</t>
  </si>
  <si>
    <t>Vanessa Caires</t>
  </si>
  <si>
    <t>Regina Baptista</t>
  </si>
  <si>
    <t>Michele Martins</t>
  </si>
  <si>
    <t>Vítor F. Jesus</t>
  </si>
  <si>
    <t>Steven Martins</t>
  </si>
  <si>
    <t>Carla Leite</t>
  </si>
  <si>
    <t>Alcino Pereira</t>
  </si>
  <si>
    <t>Miguel A. Ferreira</t>
  </si>
  <si>
    <t>Nuno Branco</t>
  </si>
  <si>
    <t>Miguel Magalhães</t>
  </si>
  <si>
    <t>Marco Oliveira</t>
  </si>
  <si>
    <t>Paulo Marques</t>
  </si>
  <si>
    <t>Ana Bela Franco</t>
  </si>
  <si>
    <t>Fátima Ferreira</t>
  </si>
  <si>
    <t>Márcia Nascimento</t>
  </si>
  <si>
    <t>Joaquim Rebelo</t>
  </si>
  <si>
    <t>Lisandra B. Tavares</t>
  </si>
  <si>
    <t>Filipe Franco</t>
  </si>
  <si>
    <t>Xavier Aveiro</t>
  </si>
  <si>
    <t>Nicásio Teixeira</t>
  </si>
  <si>
    <t>10 000 m - s.1</t>
  </si>
  <si>
    <t>10 000 m - s.2</t>
  </si>
  <si>
    <t>10 000 m - s.3</t>
  </si>
  <si>
    <t>10 000 m - s.4</t>
  </si>
  <si>
    <t>10 000 m - s.5</t>
  </si>
  <si>
    <t>10 000 m - s.6</t>
  </si>
  <si>
    <t>Andrea Freitas</t>
  </si>
  <si>
    <t>Ana Vieira</t>
  </si>
  <si>
    <t>Rodrigo Sousa</t>
  </si>
  <si>
    <t>Magno Sousa</t>
  </si>
  <si>
    <t>Daniel Costa</t>
  </si>
  <si>
    <t>Roque Semedo</t>
  </si>
  <si>
    <t>João Afonso Olim</t>
  </si>
  <si>
    <t>Maurice Escórcio</t>
  </si>
  <si>
    <t>Mike Escórcio</t>
  </si>
  <si>
    <t>Fábio S. Rodrigues</t>
  </si>
  <si>
    <t>Márcio Gonçalves</t>
  </si>
  <si>
    <t>Manuela Morgado</t>
  </si>
  <si>
    <t>Nélson Vieira</t>
  </si>
  <si>
    <t>Lisandra Caires</t>
  </si>
  <si>
    <t>Adelino Camacho</t>
  </si>
  <si>
    <t>Carlos E. Freitas</t>
  </si>
  <si>
    <t>Edwin Nunes</t>
  </si>
  <si>
    <t>Egídio Freitas</t>
  </si>
  <si>
    <t>Eleutério Luís</t>
  </si>
  <si>
    <t>Eugénio Pinto</t>
  </si>
  <si>
    <t>Gabriel de Freitas</t>
  </si>
  <si>
    <t>Gilberto Freitas</t>
  </si>
  <si>
    <t>Gilberto Pinto</t>
  </si>
  <si>
    <t>Hodório Pereira</t>
  </si>
  <si>
    <t>Jorge Policarpo</t>
  </si>
  <si>
    <t>José Custódio</t>
  </si>
  <si>
    <t>José Franco</t>
  </si>
  <si>
    <t>Nélio Faria</t>
  </si>
  <si>
    <t>Orlando Cardoso</t>
  </si>
  <si>
    <t>Paulo Margarido</t>
  </si>
  <si>
    <t>Paulo Nuno Gomes</t>
  </si>
  <si>
    <t>Raúl Mendes</t>
  </si>
  <si>
    <t>Roberto Bento</t>
  </si>
  <si>
    <t>Rui Alberto Silva</t>
  </si>
  <si>
    <t>Rui Castro</t>
  </si>
  <si>
    <t>Nuno Margarido</t>
  </si>
  <si>
    <t>João Camacho</t>
  </si>
  <si>
    <t>Ricardo Franco</t>
  </si>
  <si>
    <t>Yonny Pereira</t>
  </si>
  <si>
    <t>Duarte P. Pereira</t>
  </si>
  <si>
    <t>VIP-RC</t>
  </si>
  <si>
    <t>Catarina Gonçalves</t>
  </si>
  <si>
    <t>Filipa José</t>
  </si>
  <si>
    <t>Maria Tavares</t>
  </si>
  <si>
    <t>Marla Vieira</t>
  </si>
  <si>
    <t>Anita Vares</t>
  </si>
  <si>
    <t>Ana Correia</t>
  </si>
  <si>
    <t>Joana Alves</t>
  </si>
  <si>
    <t>António Oliveira</t>
  </si>
  <si>
    <t>Aurélio Góis</t>
  </si>
  <si>
    <t>Élio Santos</t>
  </si>
  <si>
    <t>Horácio Rodrigues</t>
  </si>
  <si>
    <t>Jaime Silva</t>
  </si>
  <si>
    <t>João Jardim</t>
  </si>
  <si>
    <t>José M. Caires</t>
  </si>
  <si>
    <t>Luciano Jardim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</si>
  <si>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</si>
  <si>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</si>
  <si>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</si>
  <si>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</si>
  <si>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</si>
  <si>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</si>
  <si>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</si>
  <si>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</si>
  <si>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</si>
  <si>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Daniel Vieira</t>
  </si>
  <si>
    <t>Eduardo Teles</t>
  </si>
  <si>
    <t>José Xavier Sousa</t>
  </si>
  <si>
    <t>Rómulo Ascensão</t>
  </si>
  <si>
    <t>Luciano A. Jardim</t>
  </si>
  <si>
    <t>António Pereira</t>
  </si>
  <si>
    <t>Ricardo Quaresma</t>
  </si>
  <si>
    <t>Daniel Borges</t>
  </si>
  <si>
    <t>Duarte Bettencourt</t>
  </si>
  <si>
    <t>Augusta Silva</t>
  </si>
  <si>
    <t>NHR</t>
  </si>
  <si>
    <t>Francisco Sampaio</t>
  </si>
  <si>
    <t>Paulo Santos</t>
  </si>
  <si>
    <t>Rui Pinto</t>
  </si>
  <si>
    <t>Dinarte Vieira</t>
  </si>
  <si>
    <t>Paulo Sérgio Silva</t>
  </si>
  <si>
    <t>Marco Brasil</t>
  </si>
  <si>
    <t>Mariana L. Sousa</t>
  </si>
  <si>
    <t>Sandro Silva</t>
  </si>
  <si>
    <t>José A. Jesus</t>
  </si>
  <si>
    <t>Élio Jesus</t>
  </si>
  <si>
    <t>Rúben Pinto</t>
  </si>
  <si>
    <t>Emanuel Soares</t>
  </si>
  <si>
    <t>Rúben Serrão</t>
  </si>
  <si>
    <t>Sandro Rodrigues</t>
  </si>
  <si>
    <t>JAC</t>
  </si>
  <si>
    <t>Mário Francisco</t>
  </si>
  <si>
    <t>Francisca Vieira</t>
  </si>
  <si>
    <t>Guilherme Ornelas</t>
  </si>
  <si>
    <t>Carlos Francisco</t>
  </si>
  <si>
    <t>Jorge Cipriano</t>
  </si>
  <si>
    <t>Simão Carvalho</t>
  </si>
  <si>
    <t>Manuel Vieira</t>
  </si>
  <si>
    <t>Lino Viveiros</t>
  </si>
  <si>
    <t>Joaquim Lopes</t>
  </si>
  <si>
    <t>Glória Fernandes</t>
  </si>
  <si>
    <t>Samuel Vasconcelos</t>
  </si>
  <si>
    <t>Lovisa Clevehorn</t>
  </si>
  <si>
    <t>José M. Santos</t>
  </si>
  <si>
    <t>Tânia S. Freitas</t>
  </si>
  <si>
    <t>CFA-M</t>
  </si>
  <si>
    <t>Margarida Roque</t>
  </si>
  <si>
    <t>Beatriz Henriques</t>
  </si>
  <si>
    <t>Sandra Pestana</t>
  </si>
  <si>
    <t>Iolanda Henriques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</si>
  <si>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</si>
  <si>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</si>
  <si>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</si>
  <si>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</si>
  <si>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</si>
  <si>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</si>
  <si>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</si>
  <si>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</si>
  <si>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</si>
  <si>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>Rúben Teixeira</t>
  </si>
  <si>
    <t>Leandro Soares</t>
  </si>
  <si>
    <t>Laureen Teixeira</t>
  </si>
  <si>
    <t>Carlota Escórcio</t>
  </si>
  <si>
    <t>Zita Jesus</t>
  </si>
  <si>
    <t>Sara Pereira</t>
  </si>
  <si>
    <t>Diogo Martins</t>
  </si>
  <si>
    <t>Júlio Serrão</t>
  </si>
  <si>
    <t>Márcia Sumares</t>
  </si>
  <si>
    <t>Paulo Gomes</t>
  </si>
  <si>
    <t>Fábio Martins</t>
  </si>
  <si>
    <t>Vítor M. Martins</t>
  </si>
  <si>
    <t>Tiago F. Sousa</t>
  </si>
  <si>
    <t>Décio Carreira</t>
  </si>
  <si>
    <t>Teresa M. Sousa</t>
  </si>
  <si>
    <t>Mário dos Ramos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</si>
  <si>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</si>
  <si>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</si>
  <si>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</si>
  <si>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</si>
  <si>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</si>
  <si>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</si>
  <si>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</si>
  <si>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</si>
  <si>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</si>
  <si>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</si>
  <si>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</si>
  <si>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Juliana Bettencourt</t>
  </si>
  <si>
    <t>Miguel Saunders</t>
  </si>
  <si>
    <t>Sidónio Fernandes</t>
  </si>
  <si>
    <t>Luís Miguel Silva</t>
  </si>
  <si>
    <t>Carlos D. Silva</t>
  </si>
  <si>
    <t>Tânia Pita</t>
  </si>
  <si>
    <t>João P. Rodrigues</t>
  </si>
  <si>
    <t>Abílio Sousa</t>
  </si>
  <si>
    <t>Isabel Rodrigues</t>
  </si>
  <si>
    <t>Odília Pedras</t>
  </si>
  <si>
    <t>Rubina Fernandes</t>
  </si>
  <si>
    <t>Miguel Valente</t>
  </si>
  <si>
    <t>Ana Paula Aveiro</t>
  </si>
  <si>
    <t>Sofia J. Silva</t>
  </si>
  <si>
    <t>João H. Reis</t>
  </si>
  <si>
    <t>Venâncio Abreu</t>
  </si>
  <si>
    <t>Luís M. Vieira</t>
  </si>
  <si>
    <t>António Camacho</t>
  </si>
  <si>
    <t>Sara Amaral</t>
  </si>
  <si>
    <t>ACM-M</t>
  </si>
  <si>
    <t>Janete Garcês</t>
  </si>
  <si>
    <t>Gonçalo Nuno</t>
  </si>
  <si>
    <t>Rodrigo F. Camacho</t>
  </si>
  <si>
    <t>Carlos Maligno</t>
  </si>
  <si>
    <t>Francisco Dantas</t>
  </si>
  <si>
    <t>Igor Silva</t>
  </si>
  <si>
    <t>Daniela Teixeira</t>
  </si>
  <si>
    <t>Élvio Sousa</t>
  </si>
  <si>
    <t>Ana Cruz</t>
  </si>
  <si>
    <t>Fábio A. Pestana</t>
  </si>
  <si>
    <t>Isabel Camacho</t>
  </si>
  <si>
    <t>João Nunes</t>
  </si>
  <si>
    <t>Gilmer Galeano</t>
  </si>
  <si>
    <t>Francisco Camacho</t>
  </si>
  <si>
    <t>Mauro Gomes</t>
  </si>
  <si>
    <t>Rafael Luís</t>
  </si>
  <si>
    <t>Samuel Matos</t>
  </si>
  <si>
    <t>J. Luís Santos</t>
  </si>
  <si>
    <t>Angélica Gama</t>
  </si>
  <si>
    <t>Carolina Silva</t>
  </si>
  <si>
    <t>Ricardo Macedo</t>
  </si>
  <si>
    <t>José A. Ferreira</t>
  </si>
  <si>
    <t>Cristina Jesus</t>
  </si>
  <si>
    <t>Fátima Mª Ferreira</t>
  </si>
  <si>
    <t>Nelson Sousa</t>
  </si>
  <si>
    <t>Teresa Silva</t>
  </si>
  <si>
    <t>André Silva</t>
  </si>
  <si>
    <t>Nélia Gomes</t>
  </si>
  <si>
    <t>Anália Freitas</t>
  </si>
  <si>
    <t>Carmo Almeida</t>
  </si>
  <si>
    <t>Roberto Ramos</t>
  </si>
  <si>
    <t>Albino Batista</t>
  </si>
  <si>
    <t>Simão Tavares</t>
  </si>
  <si>
    <t>José Reis</t>
  </si>
  <si>
    <t>Lourenço Barcelos</t>
  </si>
  <si>
    <t>Herberto Matos</t>
  </si>
  <si>
    <t>Ana Dantas</t>
  </si>
  <si>
    <t>Madalena Neto</t>
  </si>
  <si>
    <t>André Luís</t>
  </si>
  <si>
    <t>Ana Leite</t>
  </si>
  <si>
    <t>Carla Pinto</t>
  </si>
  <si>
    <t>Ana Isabel Lopes</t>
  </si>
  <si>
    <t>Jorge Grave</t>
  </si>
  <si>
    <t>Tiago Aires</t>
  </si>
  <si>
    <t>Davide Fernandes</t>
  </si>
  <si>
    <t>Omar Jesus</t>
  </si>
  <si>
    <t>Sérgio David Santos</t>
  </si>
  <si>
    <t>Rafael C. Gouveia</t>
  </si>
  <si>
    <t>Guilherme Pita</t>
  </si>
  <si>
    <t>Gabriel Conceição</t>
  </si>
  <si>
    <t>João Tomás Camacho</t>
  </si>
  <si>
    <t>Carlos J. Moreira</t>
  </si>
  <si>
    <t>Luís Figueira</t>
  </si>
  <si>
    <t>José Rui Rodrigues</t>
  </si>
  <si>
    <t>Tomás Rosário</t>
  </si>
  <si>
    <t>Pedro Martins</t>
  </si>
  <si>
    <t>Matias Olival</t>
  </si>
  <si>
    <t>Sara Morgado</t>
  </si>
  <si>
    <t>José Luís Gomes</t>
  </si>
  <si>
    <t>Paulo Madruga</t>
  </si>
  <si>
    <t>Emanuel Rodrigues</t>
  </si>
  <si>
    <t>Sofia Fernandes</t>
  </si>
  <si>
    <t>Luís Alberto Sousa</t>
  </si>
  <si>
    <t>João F. Quintal</t>
  </si>
  <si>
    <t>Sérgio P. Gouveia</t>
  </si>
  <si>
    <t>Bruno Freitas</t>
  </si>
  <si>
    <t>Sancha Campanella</t>
  </si>
  <si>
    <t>Mariza Góis</t>
  </si>
  <si>
    <t>Eduardo Raposo</t>
  </si>
  <si>
    <t>E. Miguel Gouveia</t>
  </si>
  <si>
    <t>Bruno Ferreira</t>
  </si>
  <si>
    <t>Sérgio Gonçalves</t>
  </si>
  <si>
    <t>Honório Rodrigues</t>
  </si>
  <si>
    <t>Joel Viana</t>
  </si>
  <si>
    <t>Arthur Castro</t>
  </si>
  <si>
    <t>Sónia Quelhas</t>
  </si>
  <si>
    <t>Fábio Santos</t>
  </si>
  <si>
    <t>Francisco Correia</t>
  </si>
  <si>
    <t>Eleutério Brito</t>
  </si>
  <si>
    <t>Paulo Perdigão</t>
  </si>
  <si>
    <t>Agostinho P. Fernandes</t>
  </si>
  <si>
    <t>Paulo Anastácio</t>
  </si>
  <si>
    <t>Catarina Afonso</t>
  </si>
  <si>
    <t>Ana Isabel Gomes</t>
  </si>
  <si>
    <t>Leonor Sousa</t>
  </si>
  <si>
    <t>Dino Freitas</t>
  </si>
  <si>
    <t>Bernardo Dias</t>
  </si>
  <si>
    <t>Luísa Monteiro</t>
  </si>
  <si>
    <t>Ana Monteiro</t>
  </si>
  <si>
    <t>Alexandre Monteiro</t>
  </si>
  <si>
    <t>Pedro Monteiro</t>
  </si>
  <si>
    <t>Micaela Oliveira</t>
  </si>
  <si>
    <t>Ana Amorim</t>
  </si>
  <si>
    <t>Aires Afonseca</t>
  </si>
  <si>
    <t>Filipe Aveiro</t>
  </si>
  <si>
    <t>Nuno Dias</t>
  </si>
  <si>
    <t>JROXO</t>
  </si>
  <si>
    <t>CDCF-M</t>
  </si>
  <si>
    <t>Estrada</t>
  </si>
  <si>
    <t>Sónia Santos</t>
  </si>
  <si>
    <t>Cláudio Jardim</t>
  </si>
  <si>
    <t>Rui Carvalho</t>
  </si>
  <si>
    <t>José Luís Silva</t>
  </si>
  <si>
    <t>Belchior de Sousa</t>
  </si>
  <si>
    <t>José António Reis</t>
  </si>
  <si>
    <t>Bruno Castanha</t>
  </si>
  <si>
    <t>Catarina Fernandes</t>
  </si>
  <si>
    <t>Carolina Faria</t>
  </si>
  <si>
    <t>Lina Soares</t>
  </si>
  <si>
    <t>Eliana S. Fernandes</t>
  </si>
  <si>
    <t>Catarina Ferraz</t>
  </si>
  <si>
    <t>Bernardo S Fernandes</t>
  </si>
  <si>
    <t>António Fernandes</t>
  </si>
  <si>
    <t>José M. Abreu</t>
  </si>
  <si>
    <t>Pedro Chaves</t>
  </si>
  <si>
    <t>João Correia</t>
  </si>
  <si>
    <t>Francisco Palmeira</t>
  </si>
  <si>
    <t>Graciela Chaves</t>
  </si>
  <si>
    <t>Rossana Lourenço</t>
  </si>
  <si>
    <t>Cláudio Abreu</t>
  </si>
  <si>
    <t>Daniel Serrão</t>
  </si>
  <si>
    <t>Sidónio Nunes</t>
  </si>
  <si>
    <t>Miguel Gouveia</t>
  </si>
  <si>
    <t>Rita Baptista</t>
  </si>
  <si>
    <t>Rosalina Freitas</t>
  </si>
  <si>
    <t>Luís Pestana</t>
  </si>
  <si>
    <t>Carlos Viríssimo</t>
  </si>
  <si>
    <t>Lucas R. Santos</t>
  </si>
  <si>
    <t>Alberto Jardim</t>
  </si>
  <si>
    <t>Joaquim Fernandes</t>
  </si>
  <si>
    <t>Ricardo Manuel</t>
  </si>
  <si>
    <t>Rita Madureira</t>
  </si>
  <si>
    <t>António de Castro</t>
  </si>
  <si>
    <t>J. Manuel Vieira</t>
  </si>
  <si>
    <t>Micaela Martins</t>
  </si>
  <si>
    <t>Angêlica Fernandes</t>
  </si>
  <si>
    <t>Nélio Lopes</t>
  </si>
  <si>
    <t>Ana Luísa Viveiros</t>
  </si>
  <si>
    <t>Ana Luísa Catanho</t>
  </si>
  <si>
    <t>Clarisse Catanho</t>
  </si>
  <si>
    <t>João Tiago Costa</t>
  </si>
  <si>
    <t>Sílvio Cró</t>
  </si>
  <si>
    <t>Tiago Fernandes</t>
  </si>
  <si>
    <t>Rodrigo Sol</t>
  </si>
  <si>
    <t>Andreia Mendonça</t>
  </si>
  <si>
    <t>Luísa Reis</t>
  </si>
  <si>
    <t>Duarte Viveiros</t>
  </si>
  <si>
    <t>João Tavares</t>
  </si>
  <si>
    <t>Luís Martins</t>
  </si>
  <si>
    <t>José Almada</t>
  </si>
  <si>
    <t>Rogério Camacho</t>
  </si>
  <si>
    <t>Filipa Ferreira</t>
  </si>
  <si>
    <t>Catarina Sá</t>
  </si>
  <si>
    <t>Pedro F. Ferreira</t>
  </si>
  <si>
    <t>Mariana Pestana</t>
  </si>
  <si>
    <t>Francisca Cortinhas</t>
  </si>
  <si>
    <t>Germano Gouveia</t>
  </si>
  <si>
    <t>ACDSJ</t>
  </si>
  <si>
    <t>Nelson Neves</t>
  </si>
  <si>
    <t>PT-MEO</t>
  </si>
  <si>
    <t>BORDAL</t>
  </si>
  <si>
    <t>Márcia Correia</t>
  </si>
  <si>
    <t>GCPS</t>
  </si>
  <si>
    <t>Luís M. Freitas</t>
  </si>
  <si>
    <t>Catarina Rosa</t>
  </si>
  <si>
    <t>Fátima Ribeiro</t>
  </si>
  <si>
    <t>Paulo Barreto</t>
  </si>
  <si>
    <t>Daniel Ferreira</t>
  </si>
  <si>
    <t>Nivalda Perdigão</t>
  </si>
  <si>
    <t>António Silva</t>
  </si>
  <si>
    <t>Justino Soares</t>
  </si>
  <si>
    <t>Aldino Roque</t>
  </si>
  <si>
    <t>Moisés Faria</t>
  </si>
  <si>
    <t>Alexandra Aguiar</t>
  </si>
  <si>
    <t>João L. Camacho</t>
  </si>
  <si>
    <t>Nídia Pacheco</t>
  </si>
  <si>
    <t>Fábio Vaz Gonçalves</t>
  </si>
  <si>
    <t>Cristina Ferreira</t>
  </si>
  <si>
    <t>Carlota Gomes</t>
  </si>
  <si>
    <t>Maria Inês Gomes</t>
  </si>
  <si>
    <t>Isabela Simão</t>
  </si>
  <si>
    <t>Emília Simão</t>
  </si>
  <si>
    <t>Vítor Viveiros</t>
  </si>
  <si>
    <t>Rodrigo Gonçalves</t>
  </si>
  <si>
    <t>David Correia</t>
  </si>
  <si>
    <t>Miguel V. Gouveia</t>
  </si>
  <si>
    <t>Rúben Mendonça</t>
  </si>
  <si>
    <t>Jimmy Coelho</t>
  </si>
  <si>
    <t>Luis Perez</t>
  </si>
  <si>
    <t>J. João Fernandes</t>
  </si>
  <si>
    <t>Luís Mendonça</t>
  </si>
  <si>
    <t>Sidónio Cabral</t>
  </si>
  <si>
    <t>Carla M. Neves</t>
  </si>
  <si>
    <t>Nuno Manuel</t>
  </si>
  <si>
    <t>Apolónio Abreu</t>
  </si>
  <si>
    <t>Tiago Abreu</t>
  </si>
  <si>
    <t>Victor Abreu</t>
  </si>
  <si>
    <t>Frederico L. Antunes</t>
  </si>
  <si>
    <t>Mário S. Rodrigues</t>
  </si>
  <si>
    <t>Diana Andrade</t>
  </si>
  <si>
    <t>Marta Faria</t>
  </si>
  <si>
    <t>Pedro Buaró</t>
  </si>
  <si>
    <t>ADNPS</t>
  </si>
  <si>
    <t>João C. Gonçalves</t>
  </si>
  <si>
    <t>Francisco JHenriques</t>
  </si>
  <si>
    <t>Leonor Pereira</t>
  </si>
  <si>
    <t>Filipa Franco</t>
  </si>
  <si>
    <t>Edgar Silva</t>
  </si>
  <si>
    <t>Bárbara Silva</t>
  </si>
  <si>
    <t>Catarina Queirós</t>
  </si>
  <si>
    <t>Emmanuel Teles</t>
  </si>
  <si>
    <t>Wilson Conniott</t>
  </si>
  <si>
    <t>João M. Faria</t>
  </si>
  <si>
    <t>Paulo Aguiar</t>
  </si>
  <si>
    <t>Alcino Basílio</t>
  </si>
  <si>
    <t>Sílvia Jesus</t>
  </si>
  <si>
    <t>Afonso Jesus</t>
  </si>
  <si>
    <t>Francisco J. Gouveia</t>
  </si>
  <si>
    <t>Nina Moura</t>
  </si>
  <si>
    <t>Lucas Faria</t>
  </si>
  <si>
    <t>Carla Macedo</t>
  </si>
  <si>
    <t>Guilherme Henriques</t>
  </si>
  <si>
    <t>Diana Ferreira</t>
  </si>
  <si>
    <t>Marlene Correia</t>
  </si>
  <si>
    <t>Vítor Viríssimo</t>
  </si>
  <si>
    <t>Tatiana Silva</t>
  </si>
  <si>
    <t>Ana Leonor Catanho</t>
  </si>
  <si>
    <t>Ana Beatriz Pires</t>
  </si>
  <si>
    <t>Ricardo Gonçalves</t>
  </si>
  <si>
    <t>Cláudio Nóbrega</t>
  </si>
  <si>
    <t>Dinis A. Freitas</t>
  </si>
  <si>
    <t>Gonçalo Mendonça</t>
  </si>
  <si>
    <t>Lourenço A. Viveiros</t>
  </si>
  <si>
    <t>Ricardo Caldas</t>
  </si>
  <si>
    <t>Joana G. Freitas</t>
  </si>
  <si>
    <t>David Rodrigues</t>
  </si>
  <si>
    <t>Eduardo Luís Silva</t>
  </si>
  <si>
    <t>Telmo Ramos</t>
  </si>
  <si>
    <t>Magda Dias</t>
  </si>
  <si>
    <t>Mónica Dias</t>
  </si>
  <si>
    <t>Germano Oliveira</t>
  </si>
  <si>
    <t>António A. Gouveia</t>
  </si>
  <si>
    <t>José de Abreu</t>
  </si>
  <si>
    <t>Tony Gouveia</t>
  </si>
  <si>
    <t>João Spínola</t>
  </si>
  <si>
    <t>ADCSAS</t>
  </si>
  <si>
    <t>Mariana Machin</t>
  </si>
  <si>
    <t>Luís Barradas</t>
  </si>
  <si>
    <t>Joel Freitas</t>
  </si>
  <si>
    <t>Cândido Barros</t>
  </si>
  <si>
    <t>Adriana Freitas</t>
  </si>
  <si>
    <t>Milene Jesus</t>
  </si>
  <si>
    <t>Lucy Andrade</t>
  </si>
  <si>
    <t xml:space="preserve"> </t>
  </si>
  <si>
    <t>João M. Rodrigues</t>
  </si>
  <si>
    <t>Tomás Freitas</t>
  </si>
  <si>
    <t/>
  </si>
  <si>
    <t>Clésia Teixeira</t>
  </si>
  <si>
    <t>Toni Silva</t>
  </si>
  <si>
    <t>Énio Castro</t>
  </si>
  <si>
    <t>Décio Pinto</t>
  </si>
  <si>
    <t>Jéssica Fernandes</t>
  </si>
  <si>
    <t>Maria José Andrade</t>
  </si>
  <si>
    <t>Amândio Correia</t>
  </si>
  <si>
    <t>Ana Brazão</t>
  </si>
  <si>
    <t>Ramiro Correia</t>
  </si>
  <si>
    <t>Carina Gomes</t>
  </si>
  <si>
    <t>Ana Gomes</t>
  </si>
  <si>
    <t>Petra Faria</t>
  </si>
  <si>
    <t>Marco Santos</t>
  </si>
  <si>
    <t>Anthonella Hernandez</t>
  </si>
  <si>
    <t>Clara Teixeira</t>
  </si>
  <si>
    <t>CEOL</t>
  </si>
  <si>
    <t>Orlanda Pereira</t>
  </si>
  <si>
    <t>Graciela Fernandes</t>
  </si>
  <si>
    <t>Sofia Calafatinho</t>
  </si>
  <si>
    <t>Bruna Sousa</t>
  </si>
  <si>
    <t>Taísa Silva</t>
  </si>
  <si>
    <t>Cristina N Fernandes</t>
  </si>
  <si>
    <t>Edite Silva</t>
  </si>
  <si>
    <t>Ricardo Alves</t>
  </si>
  <si>
    <t>Ricardo G Fernandes</t>
  </si>
  <si>
    <t>CSJG</t>
  </si>
  <si>
    <t>Matilde Freitas</t>
  </si>
  <si>
    <t>Matias Freitas</t>
  </si>
  <si>
    <t>Christian Prell</t>
  </si>
  <si>
    <t>Sofia R. Gonçalves</t>
  </si>
  <si>
    <t>Marta Domingos</t>
  </si>
  <si>
    <t>Kylah Mcintyre</t>
  </si>
  <si>
    <t>Lucia Mcintyre</t>
  </si>
  <si>
    <t>Paulo Andrade</t>
  </si>
  <si>
    <t>Fábio Sousa</t>
  </si>
  <si>
    <t>Vera Rodrigues</t>
  </si>
  <si>
    <t>Ângela Romeira</t>
  </si>
  <si>
    <t>Patrícia O. Gomes</t>
  </si>
  <si>
    <t>Eduardo Cadima</t>
  </si>
  <si>
    <t>Gabriel Gouveia</t>
  </si>
  <si>
    <t>Dino Costa</t>
  </si>
  <si>
    <t>Salvador Lopes</t>
  </si>
  <si>
    <t>Joana Silvino</t>
  </si>
  <si>
    <t>Inês Correia</t>
  </si>
  <si>
    <t>Maria Margarido</t>
  </si>
  <si>
    <t>Mário Silvino</t>
  </si>
  <si>
    <t>Fernando Silvino</t>
  </si>
  <si>
    <t>Alexandre Veríssimo</t>
  </si>
  <si>
    <t>Gonçalo Margarido</t>
  </si>
  <si>
    <t>Nuno B. Margarido</t>
  </si>
  <si>
    <t>Hélder N. Fernandes</t>
  </si>
  <si>
    <t>Guilherme Fernandes</t>
  </si>
  <si>
    <t>Duarte Pessoa</t>
  </si>
  <si>
    <t>Lucas Quintal</t>
  </si>
  <si>
    <t>Nayan Duarte</t>
  </si>
  <si>
    <t>Andrea Gouveia</t>
  </si>
  <si>
    <t>João T. Andrade</t>
  </si>
  <si>
    <t>Inês dos Santos</t>
  </si>
  <si>
    <t>Cátia Jardim</t>
  </si>
  <si>
    <t>Simão Mendonça</t>
  </si>
  <si>
    <t>Ivo Rodrigues</t>
  </si>
  <si>
    <t>António Madaleno</t>
  </si>
  <si>
    <t>Paulo Gouveia</t>
  </si>
  <si>
    <t>Marco Nunes</t>
  </si>
  <si>
    <t>Élvio Escórcio</t>
  </si>
  <si>
    <t>Sara Afonseca</t>
  </si>
  <si>
    <t>Adriana Henriques</t>
  </si>
  <si>
    <t>Ana F. Sampaio</t>
  </si>
  <si>
    <t>Agostinho Costa</t>
  </si>
  <si>
    <t>Ricardo M. Ribeiro</t>
  </si>
  <si>
    <t>Lília Arsénio</t>
  </si>
  <si>
    <t>David C. Silva</t>
  </si>
  <si>
    <t>Filipe Câmara</t>
  </si>
  <si>
    <t>Jaime A. Silva</t>
  </si>
  <si>
    <t>Simão Câmara</t>
  </si>
  <si>
    <t>Leandro Fernandes</t>
  </si>
  <si>
    <t>Libónio Ornelas</t>
  </si>
  <si>
    <t>Roberto A. Sousa</t>
  </si>
  <si>
    <t>Rui A. Dias</t>
  </si>
  <si>
    <t>José A. Teixeira</t>
  </si>
  <si>
    <t>Paulo Teixeira</t>
  </si>
  <si>
    <t>Carlos Perestrelo</t>
  </si>
  <si>
    <t>Noé Luís</t>
  </si>
  <si>
    <t>Patrícia Alminhas</t>
  </si>
  <si>
    <t>Ana Rodrigues</t>
  </si>
  <si>
    <t>Kidline Gomes</t>
  </si>
  <si>
    <t>Miguel Oliveira</t>
  </si>
  <si>
    <t>Hugo Barradas</t>
  </si>
  <si>
    <t>Luís Meneses</t>
  </si>
  <si>
    <t>Norberto Ribeiro</t>
  </si>
  <si>
    <t>João S. Azevedo</t>
  </si>
  <si>
    <t>Sara Figueira</t>
  </si>
  <si>
    <t>Eusébio Gomes</t>
  </si>
  <si>
    <t>Ana Paula Rodrigues</t>
  </si>
  <si>
    <t>Carina S. Rodrigues</t>
  </si>
  <si>
    <t>Vanessa F. Andrade</t>
  </si>
  <si>
    <t>Joana Dória</t>
  </si>
  <si>
    <t>Maria Noite</t>
  </si>
  <si>
    <t>Rubina Freitas</t>
  </si>
  <si>
    <t>Lourenço Jesus</t>
  </si>
  <si>
    <t>Duarte D. Nunes</t>
  </si>
  <si>
    <t>José M. Pereira</t>
  </si>
  <si>
    <t>Paulo R. Freitas</t>
  </si>
  <si>
    <t>Estevão Costa</t>
  </si>
  <si>
    <t>Duarte Brazão</t>
  </si>
  <si>
    <t>Valter Serrão</t>
  </si>
  <si>
    <t>Rui Raposo</t>
  </si>
  <si>
    <t>Cláudio J. Gonçalves</t>
  </si>
  <si>
    <t>Manuel J. Vieira</t>
  </si>
  <si>
    <t>António M. Santos</t>
  </si>
  <si>
    <t>João Garrido</t>
  </si>
  <si>
    <t>Matias Brites</t>
  </si>
  <si>
    <t>António Vieira</t>
  </si>
  <si>
    <t>Dores França</t>
  </si>
  <si>
    <t>Maria Jorge Fraga</t>
  </si>
  <si>
    <t>Flávio Sousa</t>
  </si>
  <si>
    <t>Óscar Coelho</t>
  </si>
  <si>
    <t>Dina Aveiro</t>
  </si>
  <si>
    <t>Judite Pestana</t>
  </si>
  <si>
    <t>João Pita</t>
  </si>
  <si>
    <t>Ricardo Silva</t>
  </si>
  <si>
    <t>Luís M. Caldeira</t>
  </si>
  <si>
    <t>Luís Furtado</t>
  </si>
  <si>
    <t>Adriano Furtado</t>
  </si>
  <si>
    <t>Francisco Furtado</t>
  </si>
  <si>
    <t>João Basílio</t>
  </si>
  <si>
    <t>Rúben Quintal</t>
  </si>
  <si>
    <t>Mariana Ferreira</t>
  </si>
  <si>
    <t>Lucinda Gomes</t>
  </si>
  <si>
    <t>Catarina Barbosa</t>
  </si>
  <si>
    <t>Iva Freitas</t>
  </si>
  <si>
    <t>J. Nuno Pereira</t>
  </si>
  <si>
    <t>Carlos J. Gouveia</t>
  </si>
  <si>
    <t>Maurício Gomes</t>
  </si>
  <si>
    <t>Rafaela Morgado</t>
  </si>
  <si>
    <t>Diana Afonso</t>
  </si>
  <si>
    <t>Scarlett Saleiro</t>
  </si>
  <si>
    <t>Lina Dantas</t>
  </si>
  <si>
    <t>Rosa Mendonça</t>
  </si>
  <si>
    <t>Inês Crespo</t>
  </si>
  <si>
    <t>José Figueira</t>
  </si>
  <si>
    <t>Samuel Rios</t>
  </si>
  <si>
    <t>Miguel Tapadas</t>
  </si>
  <si>
    <t>Gilberto Carvalho</t>
  </si>
  <si>
    <t>Leandro Gonçalves</t>
  </si>
  <si>
    <t>André A. Gonçalves</t>
  </si>
  <si>
    <t>Andree Abreu</t>
  </si>
  <si>
    <t>Jesús Abreu</t>
  </si>
  <si>
    <t>Bruna Alves</t>
  </si>
  <si>
    <t>Paulo Monteiro</t>
  </si>
  <si>
    <t>Christophe Afonso</t>
  </si>
  <si>
    <t>César Cardoso</t>
  </si>
  <si>
    <t>Fabián Silva</t>
  </si>
  <si>
    <t>Núria Neves</t>
  </si>
  <si>
    <t>Inês Borba</t>
  </si>
  <si>
    <t>Margarida E. Silva</t>
  </si>
  <si>
    <t>Elvina Jesus</t>
  </si>
  <si>
    <t>Maria Inês Silva</t>
  </si>
  <si>
    <t>Catarina G. Fernandes</t>
  </si>
  <si>
    <t>Lourenço Lúcio</t>
  </si>
  <si>
    <t>Eduardo Costa</t>
  </si>
  <si>
    <t>Roberto Lúcio</t>
  </si>
  <si>
    <t>Manuel Faria</t>
  </si>
  <si>
    <t>José Fernandes</t>
  </si>
  <si>
    <t>André Jerónimo</t>
  </si>
  <si>
    <t>Diogo D. Pereira</t>
  </si>
  <si>
    <t>Humberto Santos</t>
  </si>
  <si>
    <t>Elisabete Jesus</t>
  </si>
  <si>
    <t>Elsa Sousa</t>
  </si>
  <si>
    <t>Anna Afonso</t>
  </si>
  <si>
    <t>Elsa Carvalho</t>
  </si>
  <si>
    <t>Júlia Martins</t>
  </si>
  <si>
    <t>Catarina Góis</t>
  </si>
  <si>
    <t>João José Sousa</t>
  </si>
  <si>
    <t>Fabiano Abreu</t>
  </si>
  <si>
    <t>Fernando Lopes</t>
  </si>
  <si>
    <t>José T. Correia</t>
  </si>
  <si>
    <t>Sérgio A. Jesus</t>
  </si>
  <si>
    <t>José Freitas</t>
  </si>
  <si>
    <t>José Sá</t>
  </si>
  <si>
    <t>Olípio Barros</t>
  </si>
  <si>
    <t>Santiago Quintaneiro</t>
  </si>
  <si>
    <t>ADC</t>
  </si>
  <si>
    <t>CDESP</t>
  </si>
  <si>
    <t>CDG</t>
  </si>
  <si>
    <t>CDRP-M</t>
  </si>
  <si>
    <t>GDC-M</t>
  </si>
  <si>
    <t>GRCC</t>
  </si>
  <si>
    <t>R-TRM</t>
  </si>
  <si>
    <t>Hugo Fernandes</t>
  </si>
  <si>
    <t>Luís A. Vasconcelos</t>
  </si>
  <si>
    <t>F56</t>
  </si>
  <si>
    <t>F57</t>
  </si>
  <si>
    <t>F58</t>
  </si>
  <si>
    <t>F59</t>
  </si>
  <si>
    <t>F60</t>
  </si>
  <si>
    <t>Veronika Hernandez</t>
  </si>
  <si>
    <t>Leonor C. Freitas</t>
  </si>
  <si>
    <t>Gonçalo Perdigão</t>
  </si>
  <si>
    <t>Mateus Cruz</t>
  </si>
  <si>
    <t>António Ganança</t>
  </si>
  <si>
    <t>Miguel Barros</t>
  </si>
  <si>
    <t>Cátia Rubina Vieira</t>
  </si>
  <si>
    <t>Catarina J. Vieira</t>
  </si>
  <si>
    <t>Daniela Sousa</t>
  </si>
  <si>
    <t>Davide Teixeira</t>
  </si>
  <si>
    <t>Jorge Silva</t>
  </si>
  <si>
    <t>Hugo Nascimento</t>
  </si>
  <si>
    <t>Rogério Queirós</t>
  </si>
  <si>
    <t>Paulo Serra</t>
  </si>
  <si>
    <t>Ana Luís</t>
  </si>
  <si>
    <t>Carlos Freire</t>
  </si>
  <si>
    <t>Carla A. Fernandes</t>
  </si>
  <si>
    <t>Luís Ramos</t>
  </si>
  <si>
    <t>Élvio Batista</t>
  </si>
  <si>
    <t>Dário Abreu</t>
  </si>
  <si>
    <t>Ana Beatriz Pereira</t>
  </si>
  <si>
    <t>Laura Pereira</t>
  </si>
  <si>
    <t>Márcio Viveiros</t>
  </si>
  <si>
    <t>Miguel S. Abreu</t>
  </si>
  <si>
    <t>Xavier Carvalho</t>
  </si>
  <si>
    <t>Mayra Abreu</t>
  </si>
  <si>
    <t>Nélio Santos</t>
  </si>
  <si>
    <t>Rúben Escórcio</t>
  </si>
  <si>
    <t>Tomé Serrão</t>
  </si>
  <si>
    <t>Nuno Barros</t>
  </si>
  <si>
    <t>Márcio Teixeira</t>
  </si>
  <si>
    <t>Carlota Spínola</t>
  </si>
  <si>
    <t>Ana Beatriz Gomes</t>
  </si>
  <si>
    <t>Luís E. Santos</t>
  </si>
  <si>
    <t>Neide Vieira</t>
  </si>
  <si>
    <t>Solange Ferraz</t>
  </si>
  <si>
    <t>M. Sofia Santos</t>
  </si>
  <si>
    <t>Luís de Sousa</t>
  </si>
  <si>
    <t>Miguel N. Henriques</t>
  </si>
  <si>
    <t>Jorge Casaca</t>
  </si>
  <si>
    <t>Quintin Barry</t>
  </si>
  <si>
    <t>Marco A. Marques</t>
  </si>
  <si>
    <t>Dennis Pereira</t>
  </si>
  <si>
    <t>João Morais</t>
  </si>
  <si>
    <t>Frederico Silva</t>
  </si>
  <si>
    <t>Alejandro Rodrigues</t>
  </si>
  <si>
    <t>Kari Santala</t>
  </si>
  <si>
    <t>Judite Câmara</t>
  </si>
  <si>
    <t>João Câmara</t>
  </si>
  <si>
    <t>Bruno Lambaz</t>
  </si>
  <si>
    <t>Nilza Ornelas</t>
  </si>
  <si>
    <t>Sénior</t>
  </si>
  <si>
    <t>Júnior</t>
  </si>
  <si>
    <t>Higino Faria</t>
  </si>
  <si>
    <t>Odília Luís</t>
  </si>
  <si>
    <t>Ana Afonso</t>
  </si>
  <si>
    <t>Marco Ribeiro</t>
  </si>
  <si>
    <t>Carlos Pontes</t>
  </si>
  <si>
    <t>Manuel Henriques</t>
  </si>
  <si>
    <t>Bruno A. Rodrigues</t>
  </si>
  <si>
    <t>Luís C. Gomes</t>
  </si>
  <si>
    <t>João Marote</t>
  </si>
  <si>
    <t>Ana Rita Silva</t>
  </si>
  <si>
    <t>Carlos Prino</t>
  </si>
  <si>
    <t>Artur Martins</t>
  </si>
  <si>
    <t>Tatiana Vieira</t>
  </si>
  <si>
    <t>Paulo Campos</t>
  </si>
  <si>
    <t>Ana Cris. Ferreira</t>
  </si>
  <si>
    <t>Tiago Afonso Martins</t>
  </si>
  <si>
    <t>Patrício Lopes</t>
  </si>
  <si>
    <t>Joana Costa</t>
  </si>
  <si>
    <t>Diogo Castro</t>
  </si>
  <si>
    <t>Eduardo Silva</t>
  </si>
  <si>
    <t>Leonardo Diogo</t>
  </si>
  <si>
    <t>Rúben Freitas</t>
  </si>
  <si>
    <t>Francisca Pestana</t>
  </si>
  <si>
    <t>Francisco A. Pereira</t>
  </si>
  <si>
    <t>Rodrigo Ornelas</t>
  </si>
  <si>
    <t>Sónia P. Freitas</t>
  </si>
  <si>
    <t>João Marques</t>
  </si>
  <si>
    <t>Paulo Rodrigues</t>
  </si>
  <si>
    <t>Joana Viveiros</t>
  </si>
  <si>
    <t>Carolina Pita</t>
  </si>
  <si>
    <t>Diogo M. Freitas</t>
  </si>
  <si>
    <t>Marco Capelo</t>
  </si>
  <si>
    <t>Filipe Freitas</t>
  </si>
  <si>
    <t>Simone Silva</t>
  </si>
  <si>
    <t>Ricardo J. Pereira</t>
  </si>
  <si>
    <t>Francisco Cordoeiro</t>
  </si>
  <si>
    <t>Élvio Rodrigues</t>
  </si>
  <si>
    <t>Roberto Luís</t>
  </si>
  <si>
    <t>Vera Portela</t>
  </si>
  <si>
    <t>Cândida Bairrada</t>
  </si>
  <si>
    <t>Bruno E. Pereira</t>
  </si>
  <si>
    <t>Guilherme Neves</t>
  </si>
  <si>
    <t>Isabel Gonçalves</t>
  </si>
  <si>
    <t>Francisco P Teixeira</t>
  </si>
  <si>
    <t>Érica Silva</t>
  </si>
  <si>
    <t>Rui Pestana</t>
  </si>
  <si>
    <t>Mónica S. Silva</t>
  </si>
  <si>
    <t>Bruno Vaz Moniz</t>
  </si>
  <si>
    <t>André Gonçalves</t>
  </si>
  <si>
    <t>Mauro Figueira</t>
  </si>
  <si>
    <t>Francisco Costa</t>
  </si>
  <si>
    <t>Nélio Rodrigues</t>
  </si>
  <si>
    <t>Honório Teixeira</t>
  </si>
  <si>
    <t>Pedro Nuno Freitas</t>
  </si>
  <si>
    <t>Rodrigo Boulhosa</t>
  </si>
  <si>
    <t>Ana Costa</t>
  </si>
  <si>
    <t>Marco Ascensão</t>
  </si>
  <si>
    <t>Adriana Viveiros</t>
  </si>
  <si>
    <t>Cláudia Rodrigues</t>
  </si>
  <si>
    <t>Mário André Pereira</t>
  </si>
  <si>
    <t>António Lima</t>
  </si>
  <si>
    <t>Ramsés Hernandez</t>
  </si>
  <si>
    <t>Vítor Gouveia</t>
  </si>
  <si>
    <t>Paulo Sá Rodrigues</t>
  </si>
  <si>
    <t>Eduardo F. Ferreira</t>
  </si>
  <si>
    <t>Paulo A. Encarnação</t>
  </si>
  <si>
    <t>Cristina Brazão</t>
  </si>
  <si>
    <t>Lucília Pestana</t>
  </si>
  <si>
    <t>José H. Gouveia</t>
  </si>
  <si>
    <t>Mílton Lopes</t>
  </si>
  <si>
    <t>João P. Azevedo</t>
  </si>
  <si>
    <t>Acácio Gouveia</t>
  </si>
  <si>
    <t>Matias Barros</t>
  </si>
  <si>
    <t>Cátia Santos</t>
  </si>
  <si>
    <t>Diogo Sousa</t>
  </si>
  <si>
    <t>Edgar Remédios</t>
  </si>
  <si>
    <t>Rodrigo Barros</t>
  </si>
  <si>
    <t>Clementino Santos</t>
  </si>
  <si>
    <t>Hélder Sousa</t>
  </si>
  <si>
    <t>Catherine Serrão</t>
  </si>
  <si>
    <t>Énio Freitas</t>
  </si>
  <si>
    <t>João Alexandre</t>
  </si>
  <si>
    <t>Margarida Santos</t>
  </si>
  <si>
    <t>Ana Gouveia</t>
  </si>
  <si>
    <t>Nuno Lopes</t>
  </si>
  <si>
    <t>Flávio Vasconcelos</t>
  </si>
  <si>
    <t>Denise Rodrigues</t>
  </si>
  <si>
    <t>João Nascimento</t>
  </si>
  <si>
    <t>Carlos Gomes</t>
  </si>
  <si>
    <t>Djamila Tavares</t>
  </si>
  <si>
    <t>Tiago Martins</t>
  </si>
  <si>
    <t>Inês Camacho</t>
  </si>
  <si>
    <t>Cláudio Camacho</t>
  </si>
  <si>
    <t>Afonso L. Freitas</t>
  </si>
  <si>
    <t>Miguel A. Nóbrega</t>
  </si>
  <si>
    <t>Célia Bairos</t>
  </si>
  <si>
    <t>Luís Vieira</t>
  </si>
  <si>
    <t>Total Geral</t>
  </si>
  <si>
    <t>Sara Inácio</t>
  </si>
  <si>
    <t>Miriam Tavares</t>
  </si>
  <si>
    <t>Tânia Caires</t>
  </si>
  <si>
    <t>Rúben Alves</t>
  </si>
  <si>
    <t>Tiago Serrano</t>
  </si>
  <si>
    <t>Sílvia Neves</t>
  </si>
  <si>
    <t>Sofia Inácio</t>
  </si>
  <si>
    <t>José Ricardo Mestre</t>
  </si>
  <si>
    <t>F61</t>
  </si>
  <si>
    <t>F62</t>
  </si>
  <si>
    <t>F63</t>
  </si>
  <si>
    <t>F64</t>
  </si>
  <si>
    <t>F65</t>
  </si>
  <si>
    <t>Nº lic. FPA</t>
  </si>
  <si>
    <t>Domingos Andrade</t>
  </si>
  <si>
    <t>Alexandra Oliveira</t>
  </si>
  <si>
    <t>Carolina Duarte</t>
  </si>
  <si>
    <t>Inês Cunha</t>
  </si>
  <si>
    <t>Inês E. Fernandes</t>
  </si>
  <si>
    <t>Inês Silva</t>
  </si>
  <si>
    <t>Júlia Soares</t>
  </si>
  <si>
    <t>Lara Glória</t>
  </si>
  <si>
    <t>Margarida C. Serrão</t>
  </si>
  <si>
    <t>Maria Esteves</t>
  </si>
  <si>
    <t>Maria Neto</t>
  </si>
  <si>
    <t>Sabrina Correia</t>
  </si>
  <si>
    <t>Sarah Rodrigues</t>
  </si>
  <si>
    <t>Valentina Baptista</t>
  </si>
  <si>
    <t>Valeska Abreu</t>
  </si>
  <si>
    <t>Diego Abreu</t>
  </si>
  <si>
    <t>Gabriel Linares</t>
  </si>
  <si>
    <t>Gonçalo N. Fernandes</t>
  </si>
  <si>
    <t>João Duarte Sousa</t>
  </si>
  <si>
    <t>Matias Vieira</t>
  </si>
  <si>
    <t>Samuel Linares</t>
  </si>
  <si>
    <t>Sérgio Cruz</t>
  </si>
  <si>
    <t>Simão Maltez</t>
  </si>
  <si>
    <t>Hugo J. Fernandes</t>
  </si>
  <si>
    <t>Bina Gomes</t>
  </si>
  <si>
    <t>Nádia Coelho</t>
  </si>
  <si>
    <t>Luís Gouveia</t>
  </si>
  <si>
    <t>José Canada</t>
  </si>
  <si>
    <t>Martim Aguiar</t>
  </si>
  <si>
    <t>Mariana Afonso</t>
  </si>
  <si>
    <t>Joana Serrano</t>
  </si>
  <si>
    <t>Júlia Aguiar</t>
  </si>
  <si>
    <t>Liliana Serrano</t>
  </si>
  <si>
    <t>Cristina Neves</t>
  </si>
  <si>
    <t>João P. Nunes</t>
  </si>
  <si>
    <t>Leonardo F. Alves</t>
  </si>
  <si>
    <t>Tomás Aguiar</t>
  </si>
  <si>
    <t>Rui Serrano</t>
  </si>
  <si>
    <t>Áurea Basílio</t>
  </si>
  <si>
    <t>Vanessa Furtado</t>
  </si>
  <si>
    <t>Petr Danich</t>
  </si>
  <si>
    <t>Manuel Ferreira</t>
  </si>
  <si>
    <t>Isabel Alves</t>
  </si>
  <si>
    <t>Liliana Pinto</t>
  </si>
  <si>
    <t>Nicolau Correia</t>
  </si>
  <si>
    <t>Hugo Marques</t>
  </si>
  <si>
    <t>Hélder Correia</t>
  </si>
  <si>
    <t>Agostinho Caldeira</t>
  </si>
  <si>
    <t>Nuno Sousa</t>
  </si>
  <si>
    <t>Diogo Bacanhim</t>
  </si>
  <si>
    <t>Nuno Castro</t>
  </si>
  <si>
    <t>Paulo Camacho</t>
  </si>
  <si>
    <t>João D. Figueira</t>
  </si>
  <si>
    <t>Sónia Mendes</t>
  </si>
  <si>
    <t>Nuno Mendes</t>
  </si>
  <si>
    <t>Magno A. Mendes</t>
  </si>
  <si>
    <t>Ricardo N. Ferreira</t>
  </si>
  <si>
    <t>João Pedro Olim</t>
  </si>
  <si>
    <t>Nuno Miguel Lopes</t>
  </si>
  <si>
    <t>Poncin Patrick</t>
  </si>
  <si>
    <t>José Emanuel Freitas</t>
  </si>
  <si>
    <t>André Sousa</t>
  </si>
  <si>
    <t>Eduardo Baptista</t>
  </si>
  <si>
    <t>Guilherme Correia</t>
  </si>
  <si>
    <t>Rubina Gouveia</t>
  </si>
  <si>
    <t>Gonçalo Pacheco</t>
  </si>
  <si>
    <t>Hugo Martins</t>
  </si>
  <si>
    <t>Ludgero Freitas</t>
  </si>
  <si>
    <t>Tiago Olival</t>
  </si>
  <si>
    <t>José Viveiros</t>
  </si>
  <si>
    <t>Fábio Vieira</t>
  </si>
  <si>
    <t>Leonely Cardenas</t>
  </si>
  <si>
    <t>Filipa Jesus</t>
  </si>
  <si>
    <t>Duarte Martins</t>
  </si>
  <si>
    <t>Susana Alegria</t>
  </si>
  <si>
    <t>Paula Henriques</t>
  </si>
  <si>
    <t>Patrícia Franco</t>
  </si>
  <si>
    <t>Tânia P. Nascimento</t>
  </si>
  <si>
    <t>Roberto Telo</t>
  </si>
  <si>
    <t>Carlos M. Reis</t>
  </si>
  <si>
    <t>Rogério Franco</t>
  </si>
  <si>
    <t>Lucas Cruz</t>
  </si>
  <si>
    <t>Leandro Coelho</t>
  </si>
  <si>
    <t>Julieta Pestana</t>
  </si>
  <si>
    <t>Benilde Lourenço</t>
  </si>
  <si>
    <t>Sónia Lucas</t>
  </si>
  <si>
    <t>Natércia Freitas</t>
  </si>
  <si>
    <t>Duarte Lucas</t>
  </si>
  <si>
    <t>Nuno Santiago</t>
  </si>
  <si>
    <t>Luís Noite</t>
  </si>
  <si>
    <t>António Gouveia</t>
  </si>
  <si>
    <t>João Valente</t>
  </si>
  <si>
    <t>José Valente</t>
  </si>
  <si>
    <t>António Jesus</t>
  </si>
  <si>
    <t>João Corte</t>
  </si>
  <si>
    <t>Óscar Serrão</t>
  </si>
  <si>
    <t>Emídio Correia</t>
  </si>
  <si>
    <t>Ana Beatriz Silva</t>
  </si>
  <si>
    <t>Sofia Duarte</t>
  </si>
  <si>
    <t>Patrícia A. Silva</t>
  </si>
  <si>
    <t>Rodrigo Rito</t>
  </si>
  <si>
    <t>Miguel Moreira</t>
  </si>
  <si>
    <t>Hugo Correia</t>
  </si>
  <si>
    <t>Abdel Larrinaga</t>
  </si>
  <si>
    <t>Miguel Mascarenhas</t>
  </si>
  <si>
    <t>Mário Abreu</t>
  </si>
  <si>
    <t>Luís Gil</t>
  </si>
  <si>
    <t>Vítor J. Gouveia</t>
  </si>
  <si>
    <t>Cláudia Carvalho</t>
  </si>
  <si>
    <t>Ana Gama</t>
  </si>
  <si>
    <t>Humberto A. Rodrigues</t>
  </si>
  <si>
    <t>Rodrigo Rodrigues</t>
  </si>
  <si>
    <t>Tiago M. Coelho</t>
  </si>
  <si>
    <t>Duarte Santos</t>
  </si>
  <si>
    <t>Fábio C. Rodrigues</t>
  </si>
  <si>
    <t>Humberto Gomez</t>
  </si>
  <si>
    <t>José Hilário</t>
  </si>
  <si>
    <t>Ana Silva</t>
  </si>
  <si>
    <t>Duarte Dias</t>
  </si>
  <si>
    <t>José Luís</t>
  </si>
  <si>
    <t>Bruno M. Gouveia</t>
  </si>
  <si>
    <t>Guilherme R. Pita</t>
  </si>
  <si>
    <t>João Nogueira</t>
  </si>
  <si>
    <t>Ana Melim</t>
  </si>
  <si>
    <t>Sandra Fontes</t>
  </si>
  <si>
    <t>Graça Agrela</t>
  </si>
  <si>
    <t>Susete Faria</t>
  </si>
  <si>
    <t>Lucilina Aguiar</t>
  </si>
  <si>
    <t>Sónia I. Abreu</t>
  </si>
  <si>
    <t>Maria O. Silva</t>
  </si>
  <si>
    <t>Viviana Jesus</t>
  </si>
  <si>
    <t>Laura Santos</t>
  </si>
  <si>
    <t>Margarida J. Pereira</t>
  </si>
  <si>
    <t xml:space="preserve">Débora Pestana </t>
  </si>
  <si>
    <t>Filipa Raquel Barros</t>
  </si>
  <si>
    <t>Rui Pita</t>
  </si>
  <si>
    <t>Pedro M. Soares</t>
  </si>
  <si>
    <t>Daniel  Ferreira</t>
  </si>
  <si>
    <t>Armando Araújo</t>
  </si>
  <si>
    <t>Luciano D. Abreu</t>
  </si>
  <si>
    <t>Joel Pestana</t>
  </si>
  <si>
    <t>Jesus Meneses</t>
  </si>
  <si>
    <t>Rui Coelho</t>
  </si>
  <si>
    <t>Luís D. Mendonça</t>
  </si>
  <si>
    <t>Januária Pereira</t>
  </si>
  <si>
    <t>Beatriz Matias</t>
  </si>
  <si>
    <t>Filipa Martins</t>
  </si>
  <si>
    <t>Nicole Pita</t>
  </si>
  <si>
    <t>Margarida Teixeira</t>
  </si>
  <si>
    <t>Ana Quintal</t>
  </si>
  <si>
    <t>Laura I. Gouveia</t>
  </si>
  <si>
    <t>Ana Spínola</t>
  </si>
  <si>
    <t>Valéria Faria</t>
  </si>
  <si>
    <t>Susana I. Santos</t>
  </si>
  <si>
    <t>Diana Rodrigues</t>
  </si>
  <si>
    <t>Natércio Vieira</t>
  </si>
  <si>
    <t>João R. Jesus</t>
  </si>
  <si>
    <t>Nelson Pinto</t>
  </si>
  <si>
    <t>Nuno M. Abreu</t>
  </si>
  <si>
    <t>André Marques</t>
  </si>
  <si>
    <t>João Esteves</t>
  </si>
  <si>
    <t>Nino Pereira</t>
  </si>
  <si>
    <t>Diogo Gonçalves</t>
  </si>
  <si>
    <t>Tiago F. Camacho</t>
  </si>
  <si>
    <t>José Carrascal</t>
  </si>
  <si>
    <t>Duarte Baeta</t>
  </si>
  <si>
    <t>Hugo Ornelas</t>
  </si>
  <si>
    <t>Leonor Batista</t>
  </si>
  <si>
    <t>Ekaterina Zubareva</t>
  </si>
  <si>
    <t>Ana Luísa Roda</t>
  </si>
  <si>
    <t>Martim Batista</t>
  </si>
  <si>
    <t>Pedro D. Gomes</t>
  </si>
  <si>
    <t>Nuno M. Gomes</t>
  </si>
  <si>
    <t>Ana Granja</t>
  </si>
  <si>
    <t>Maria Carvalho</t>
  </si>
  <si>
    <t>Rafaela Hora</t>
  </si>
  <si>
    <t>Shaina Mags</t>
  </si>
  <si>
    <t>Sónia C. Rodrigues</t>
  </si>
  <si>
    <t>Bruno D. Fernandes</t>
  </si>
  <si>
    <t>Diogo Mestre</t>
  </si>
  <si>
    <t>José Câmara</t>
  </si>
  <si>
    <t>L. Fernando Gonçalves</t>
  </si>
  <si>
    <t>Miguel A. Gouveia</t>
  </si>
  <si>
    <t>Nuno Lourenço</t>
  </si>
  <si>
    <t>Pedro Barbosa</t>
  </si>
  <si>
    <t>Roberto D. Gomes</t>
  </si>
  <si>
    <t>Hugo A. Correia</t>
  </si>
  <si>
    <t>José D. Nóbrega</t>
  </si>
  <si>
    <t>Hugo Meneses</t>
  </si>
  <si>
    <t>Ericka Perestrelo</t>
  </si>
  <si>
    <t>Filipe Ferreira</t>
  </si>
  <si>
    <t>V 100</t>
  </si>
  <si>
    <t>V 75</t>
  </si>
  <si>
    <t>Mariana Silva</t>
  </si>
  <si>
    <t>José Teixeira</t>
  </si>
  <si>
    <t>Micael Franco</t>
  </si>
  <si>
    <t>Iara Tembe</t>
  </si>
  <si>
    <t>Eduarda Silva</t>
  </si>
  <si>
    <t>Jennifer Alves</t>
  </si>
  <si>
    <t>André Spínola</t>
  </si>
  <si>
    <t>Basílio Noronha</t>
  </si>
  <si>
    <t>Bruno Coelho</t>
  </si>
  <si>
    <t>Francisco Freitas</t>
  </si>
  <si>
    <t>Luz Soares</t>
  </si>
  <si>
    <t>Gerardo Silva</t>
  </si>
  <si>
    <t>Paulo Martins</t>
  </si>
  <si>
    <t>João Sousa</t>
  </si>
  <si>
    <t>João G. Costa</t>
  </si>
  <si>
    <t>André Macieira</t>
  </si>
  <si>
    <t>Jacinto Santos</t>
  </si>
  <si>
    <t>Carlos J. Castro</t>
  </si>
  <si>
    <t>Rúben F. Sousa</t>
  </si>
  <si>
    <t>Luísa Ramos</t>
  </si>
  <si>
    <t>Isabel Fernandes</t>
  </si>
  <si>
    <t>Leonor B. Pereira</t>
  </si>
  <si>
    <t>Laura Martins</t>
  </si>
  <si>
    <t>Délia Freitas</t>
  </si>
  <si>
    <t>Belinda Freitas</t>
  </si>
  <si>
    <t>Vera Fernandes</t>
  </si>
  <si>
    <t>Margarida Mendes</t>
  </si>
  <si>
    <t>Maria Vasconcelos</t>
  </si>
  <si>
    <t>Carolina Y. Rodrigues</t>
  </si>
  <si>
    <t>Margarida Sá</t>
  </si>
  <si>
    <t>Ariana Almeida</t>
  </si>
  <si>
    <t>Luana Clemente</t>
  </si>
  <si>
    <t>Leonor Jesus</t>
  </si>
  <si>
    <t>Tóni Fernandes</t>
  </si>
  <si>
    <t>Carlos F. Fernandes</t>
  </si>
  <si>
    <t>André Benedito</t>
  </si>
  <si>
    <t>Vítor Nunes</t>
  </si>
  <si>
    <t>Bernardo R. Freitas</t>
  </si>
  <si>
    <t>AAM-M</t>
  </si>
  <si>
    <t>Jorge M. Gonçalves</t>
  </si>
  <si>
    <t>Marco G. Pereira</t>
  </si>
  <si>
    <t>Arlindo Carvalho</t>
  </si>
  <si>
    <t>José M. Teixeira</t>
  </si>
  <si>
    <t>José Barbosa</t>
  </si>
  <si>
    <t>Pedro Perregil</t>
  </si>
  <si>
    <t>Manuel N. Fernandes</t>
  </si>
  <si>
    <t>ECFC</t>
  </si>
  <si>
    <t>Associação Alegria Madeira Card.</t>
  </si>
  <si>
    <t>Associação Cultural e Desportiva de São João</t>
  </si>
  <si>
    <t>Associação Cristã da Mocidade da Madeira / Team Aventura Trail</t>
  </si>
  <si>
    <t>Associação Desportiva Amigos do Costume</t>
  </si>
  <si>
    <t>Associação Desportiva e Cultural de Santo António da Serra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</si>
  <si>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</si>
  <si>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</si>
  <si>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</si>
  <si>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</si>
  <si>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</si>
  <si>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</si>
  <si>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</si>
  <si>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</si>
  <si>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</si>
  <si>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</si>
  <si>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</si>
  <si>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</si>
  <si>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Curral das Freiras</t>
  </si>
  <si>
    <t>Clube Desportivo e Cultural do Porto Moniz</t>
  </si>
  <si>
    <t>Clube Desportivo Escola do Porto da Cruz</t>
  </si>
  <si>
    <t>Clube Desportivo Escola Santana</t>
  </si>
  <si>
    <t>Clube Desportivo "Os Especiais"</t>
  </si>
  <si>
    <t>Clube Desportivo do Garachico</t>
  </si>
  <si>
    <t>Clube Desportivo Infante D. Henrique</t>
  </si>
  <si>
    <t>Clube Desportivo Mar e Serra</t>
  </si>
  <si>
    <t>Clube Desportivo e Recreativo dos Prazeres</t>
  </si>
  <si>
    <t>Clube Escola do Estreito - Madeira</t>
  </si>
  <si>
    <t>Clube Escola O Liceu</t>
  </si>
  <si>
    <t>Clube Futebol Andorinha</t>
  </si>
  <si>
    <t>Clube Futebol Carvalheiro</t>
  </si>
  <si>
    <t>Clube Karate Caniço - TFALCON Madeira</t>
  </si>
  <si>
    <t>Clube de Montanha do Funchal</t>
  </si>
  <si>
    <t>Clube Naval do Funchal / Óptica da Sé</t>
  </si>
  <si>
    <t>CNS-M</t>
  </si>
  <si>
    <t>Clube Naval do Seixal</t>
  </si>
  <si>
    <t>Clube Naval de São Vicente</t>
  </si>
  <si>
    <t>CPBV</t>
  </si>
  <si>
    <t>Casa do Povo de Boaventura</t>
  </si>
  <si>
    <t>Casa do Povo da Camacha</t>
  </si>
  <si>
    <t>Casa do Povo de Câmara de Lobos</t>
  </si>
  <si>
    <t>Casa do Povo de Porto Moniz</t>
  </si>
  <si>
    <t>Clube Sport Juventude de Gaula - Madeira</t>
  </si>
  <si>
    <t>Club Sport Marítimo</t>
  </si>
  <si>
    <t>Estrela da Calheta Futebol Clube</t>
  </si>
  <si>
    <t>Ginásio Clube Porto Santo</t>
  </si>
  <si>
    <t>Grupo Desportivo das Corticeiras</t>
  </si>
  <si>
    <t>Grupo Desportivo do Estreito</t>
  </si>
  <si>
    <t>Grupo Recreativo Cruzado Canicense</t>
  </si>
  <si>
    <t>Individual - Madeira</t>
  </si>
  <si>
    <t>Juventude Atlântico Clube</t>
  </si>
  <si>
    <t>Trail Team JRoxo Alumínios</t>
  </si>
  <si>
    <t>Ludens Clube de Machico</t>
  </si>
  <si>
    <t>McDonald's</t>
  </si>
  <si>
    <t>MSC Seguros, Lda.</t>
  </si>
  <si>
    <t>Madeira Trail Team</t>
  </si>
  <si>
    <t>Nature High Running</t>
  </si>
  <si>
    <t>Clube Portugal Telecom - Madeira</t>
  </si>
  <si>
    <t>Rodoeste - Transportadora Rodoviária da Madeira, Lda.</t>
  </si>
  <si>
    <t>Sporting Clube da Madeira</t>
  </si>
  <si>
    <t>Sporting Club Santacruzense</t>
  </si>
  <si>
    <t>Valour Futebol Clube - ACRD do Rosário</t>
  </si>
  <si>
    <t>Vip RC</t>
  </si>
  <si>
    <t>versão: 2021.04.20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</si>
</sst>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2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800000"/>
      <name val="Calibri"/>
      <family val="2"/>
      <scheme val="minor"/>
    </font>
    <font>
      <sz val="12"/>
      <name val="Calibri"/>
      <family val="2"/>
      <scheme val="minor"/>
    </font>
    <font>
      <i/>
      <sz val="9"/>
      <color theme="9" tint="-0.499984740745262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000090"/>
      <name val="Arial"/>
      <family val="2"/>
    </font>
    <font>
      <sz val="9"/>
      <color rgb="FF000090"/>
      <name val="Arial"/>
      <family val="2"/>
    </font>
    <font>
      <b/>
      <sz val="11"/>
      <color rgb="FF0000FF"/>
      <name val="Calibri"/>
      <family val="2"/>
      <scheme val="minor"/>
    </font>
    <font>
      <sz val="9"/>
      <name val="Calibri"/>
      <family val="2"/>
      <scheme val="minor"/>
    </font>
    <font>
      <u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indexed="81"/>
      <name val="Arial"/>
      <family val="2"/>
    </font>
    <font>
      <sz val="10"/>
      <color rgb="FF800000"/>
      <name val="Calibri"/>
      <family val="2"/>
      <scheme val="minor"/>
    </font>
    <font>
      <sz val="10"/>
      <color rgb="FF000090"/>
      <name val="Calibri"/>
      <family val="2"/>
      <scheme val="minor"/>
    </font>
    <font>
      <b/>
      <sz val="14"/>
      <color rgb="FF800000"/>
      <name val="Calibri"/>
      <family val="2"/>
    </font>
    <font>
      <sz val="7"/>
      <color theme="1"/>
      <name val="Calibri"/>
      <family val="2"/>
      <scheme val="minor"/>
    </font>
    <font>
      <b/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auto="1"/>
      </bottom>
      <diagonal/>
    </border>
    <border>
      <left/>
      <right/>
      <top style="medium">
        <color auto="1"/>
      </top>
      <bottom style="thin">
        <color theme="0" tint="-0.249977111117893"/>
      </bottom>
      <diagonal/>
    </border>
  </borders>
  <cellStyleXfs count="711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37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23" fillId="8" borderId="0" xfId="20" applyFont="1" applyFill="1"/>
    <xf numFmtId="0" fontId="23" fillId="2" borderId="0" xfId="20" applyFont="1" applyFill="1"/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3" xfId="20" applyNumberFormat="1" applyFont="1" applyFill="1" applyBorder="1" applyAlignment="1">
      <alignment horizontal="center" vertical="center" shrinkToFit="1"/>
    </xf>
    <xf numFmtId="0" fontId="15" fillId="10" borderId="0" xfId="20" applyFont="1" applyFill="1" applyAlignment="1">
      <alignment horizontal="center"/>
    </xf>
    <xf numFmtId="0" fontId="8" fillId="0" borderId="3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3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3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4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0" fontId="33" fillId="4" borderId="4" xfId="20" applyNumberFormat="1" applyFont="1" applyFill="1" applyBorder="1" applyAlignment="1" applyProtection="1">
      <alignment horizontal="center"/>
    </xf>
    <xf numFmtId="0" fontId="29" fillId="12" borderId="4" xfId="0" applyFont="1" applyFill="1" applyBorder="1" applyProtection="1"/>
    <xf numFmtId="168" fontId="33" fillId="4" borderId="4" xfId="20" applyNumberFormat="1" applyFont="1" applyFill="1" applyBorder="1" applyAlignment="1" applyProtection="1">
      <alignment horizontal="center"/>
    </xf>
    <xf numFmtId="0" fontId="29" fillId="4" borderId="4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0" fillId="5" borderId="0" xfId="0" applyFill="1" applyAlignment="1">
      <alignment horizontal="center" vertical="center"/>
    </xf>
    <xf numFmtId="0" fontId="8" fillId="2" borderId="0" xfId="20" applyFont="1" applyFill="1" applyAlignment="1">
      <alignment horizontal="center"/>
    </xf>
    <xf numFmtId="0" fontId="8" fillId="2" borderId="0" xfId="20" applyFont="1" applyFill="1"/>
    <xf numFmtId="0" fontId="40" fillId="4" borderId="0" xfId="20" applyFont="1" applyFill="1" applyAlignment="1">
      <alignment horizontal="right" vertical="center"/>
    </xf>
    <xf numFmtId="0" fontId="15" fillId="0" borderId="5" xfId="20" applyFont="1" applyFill="1" applyBorder="1" applyAlignment="1" applyProtection="1">
      <alignment horizontal="center" vertical="center" shrinkToFit="1"/>
      <protection locked="0"/>
    </xf>
    <xf numFmtId="0" fontId="15" fillId="0" borderId="6" xfId="20" applyFont="1" applyFill="1" applyBorder="1" applyAlignment="1" applyProtection="1">
      <alignment horizontal="center" vertical="center" shrinkToFit="1"/>
      <protection locked="0"/>
    </xf>
    <xf numFmtId="0" fontId="15" fillId="0" borderId="7" xfId="20" applyFont="1" applyFill="1" applyBorder="1" applyAlignment="1" applyProtection="1">
      <alignment horizontal="center" vertical="center" shrinkToFit="1"/>
      <protection locked="0"/>
    </xf>
    <xf numFmtId="0" fontId="15" fillId="0" borderId="8" xfId="20" applyFont="1" applyFill="1" applyBorder="1" applyAlignment="1" applyProtection="1">
      <alignment horizontal="center" vertical="center" shrinkToFit="1"/>
      <protection locked="0"/>
    </xf>
    <xf numFmtId="0" fontId="39" fillId="13" borderId="0" xfId="0" applyFont="1" applyFill="1" applyAlignment="1">
      <alignment vertical="center"/>
    </xf>
    <xf numFmtId="0" fontId="40" fillId="4" borderId="0" xfId="20" applyFont="1" applyFill="1" applyAlignment="1">
      <alignment horizontal="left" vertical="center" indent="2"/>
    </xf>
    <xf numFmtId="0" fontId="6" fillId="4" borderId="0" xfId="0" applyNumberFormat="1" applyFont="1" applyFill="1" applyBorder="1" applyAlignment="1" applyProtection="1">
      <alignment horizontal="center" vertical="center"/>
    </xf>
    <xf numFmtId="0" fontId="6" fillId="4" borderId="0" xfId="0" applyNumberFormat="1" applyFont="1" applyFill="1" applyBorder="1" applyAlignment="1" applyProtection="1">
      <alignment horizontal="left" vertical="center"/>
    </xf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4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711">
    <cellStyle name="Euro" xfId="1" xr:uid="{00000000-0005-0000-0000-000000000000}"/>
    <cellStyle name="Euro 2" xfId="2" xr:uid="{00000000-0005-0000-0000-000001000000}"/>
    <cellStyle name="Euro_Livro2" xfId="3" xr:uid="{00000000-0005-0000-0000-000002000000}"/>
    <cellStyle name="Hiperligação" xfId="14" builtinId="8" hidden="1"/>
    <cellStyle name="Hiperligação" xfId="16" builtinId="8" hidden="1"/>
    <cellStyle name="Hiperligação" xfId="18" builtinId="8" hidden="1"/>
    <cellStyle name="Hiperligação" xfId="21" builtinId="8" hidden="1"/>
    <cellStyle name="Hiperligação" xfId="23" builtinId="8" hidden="1"/>
    <cellStyle name="Hiperligação" xfId="25" builtinId="8" hidden="1"/>
    <cellStyle name="Hiperligação" xfId="27" builtinId="8" hidden="1"/>
    <cellStyle name="Hiperligação" xfId="29" builtinId="8" hidden="1"/>
    <cellStyle name="Hiperligação" xfId="31" builtinId="8" hidden="1"/>
    <cellStyle name="Hiperligação" xfId="33" builtinId="8" hidden="1"/>
    <cellStyle name="Hiperligação" xfId="35" builtinId="8" hidden="1"/>
    <cellStyle name="Hiperligação" xfId="37" builtinId="8" hidden="1"/>
    <cellStyle name="Hiperligação" xfId="39" builtinId="8" hidden="1"/>
    <cellStyle name="Hiperligação" xfId="41" builtinId="8" hidden="1"/>
    <cellStyle name="Hiperligação" xfId="43" builtinId="8" hidden="1"/>
    <cellStyle name="Hiperligação" xfId="45" builtinId="8" hidden="1"/>
    <cellStyle name="Hiperligação" xfId="47" builtinId="8" hidden="1"/>
    <cellStyle name="Hiperligação" xfId="49" builtinId="8" hidden="1"/>
    <cellStyle name="Hiperligação" xfId="51" builtinId="8" hidden="1"/>
    <cellStyle name="Hiperligação" xfId="53" builtinId="8" hidden="1"/>
    <cellStyle name="Hiperligação" xfId="55" builtinId="8" hidden="1"/>
    <cellStyle name="Hiperligação" xfId="57" builtinId="8" hidden="1"/>
    <cellStyle name="Hiperligação" xfId="59" builtinId="8" hidden="1"/>
    <cellStyle name="Hiperligação" xfId="61" builtinId="8" hidden="1"/>
    <cellStyle name="Hiperligação" xfId="63" builtinId="8" hidden="1"/>
    <cellStyle name="Hiperligação" xfId="65" builtinId="8" hidden="1"/>
    <cellStyle name="Hiperligação" xfId="67" builtinId="8" hidden="1"/>
    <cellStyle name="Hiperligação" xfId="69" builtinId="8" hidden="1"/>
    <cellStyle name="Hiperligação" xfId="71" builtinId="8" hidden="1"/>
    <cellStyle name="Hiperligação" xfId="73" builtinId="8" hidden="1"/>
    <cellStyle name="Hiperligação" xfId="75" builtinId="8" hidden="1"/>
    <cellStyle name="Hiperligação" xfId="77" builtinId="8" hidden="1"/>
    <cellStyle name="Hiperligação" xfId="79" builtinId="8" hidden="1"/>
    <cellStyle name="Hiperligação" xfId="81" builtinId="8" hidden="1"/>
    <cellStyle name="Hiperligação" xfId="83" builtinId="8" hidden="1"/>
    <cellStyle name="Hiperligação" xfId="85" builtinId="8" hidden="1"/>
    <cellStyle name="Hiperligação" xfId="87" builtinId="8" hidden="1"/>
    <cellStyle name="Hiperligação" xfId="89" builtinId="8" hidden="1"/>
    <cellStyle name="Hiperligação" xfId="91" builtinId="8" hidden="1"/>
    <cellStyle name="Hiperligação" xfId="93" builtinId="8" hidden="1"/>
    <cellStyle name="Hiperligação" xfId="95" builtinId="8" hidden="1"/>
    <cellStyle name="Hiperligação" xfId="97" builtinId="8" hidden="1"/>
    <cellStyle name="Hiperligação" xfId="99" builtinId="8" hidden="1"/>
    <cellStyle name="Hiperligação" xfId="101" builtinId="8" hidden="1"/>
    <cellStyle name="Hiperligação" xfId="103" builtinId="8" hidden="1"/>
    <cellStyle name="Hiperligação" xfId="105" builtinId="8" hidden="1"/>
    <cellStyle name="Hiperligação" xfId="107" builtinId="8" hidden="1"/>
    <cellStyle name="Hiperligação" xfId="109" builtinId="8" hidden="1"/>
    <cellStyle name="Hiperligação" xfId="111" builtinId="8" hidden="1"/>
    <cellStyle name="Hiperligação" xfId="113" builtinId="8" hidden="1"/>
    <cellStyle name="Hiperligação" xfId="115" builtinId="8" hidden="1"/>
    <cellStyle name="Hiperligação" xfId="117" builtinId="8" hidden="1"/>
    <cellStyle name="Hiperligação" xfId="119" builtinId="8" hidden="1"/>
    <cellStyle name="Hiperligação" xfId="121" builtinId="8" hidden="1"/>
    <cellStyle name="Hiperligação" xfId="123" builtinId="8" hidden="1"/>
    <cellStyle name="Hiperligação" xfId="125" builtinId="8" hidden="1"/>
    <cellStyle name="Hiperligação" xfId="127" builtinId="8" hidden="1"/>
    <cellStyle name="Hiperligação" xfId="129" builtinId="8" hidden="1"/>
    <cellStyle name="Hiperligação" xfId="131" builtinId="8" hidden="1"/>
    <cellStyle name="Hiperligação" xfId="133" builtinId="8" hidden="1"/>
    <cellStyle name="Hiperligação" xfId="135" builtinId="8" hidden="1"/>
    <cellStyle name="Hiperligação" xfId="137" builtinId="8" hidden="1"/>
    <cellStyle name="Hiperligação" xfId="139" builtinId="8" hidden="1"/>
    <cellStyle name="Hiperligação" xfId="141" builtinId="8" hidden="1"/>
    <cellStyle name="Hiperligação" xfId="143" builtinId="8" hidden="1"/>
    <cellStyle name="Hiperligação" xfId="145" builtinId="8" hidden="1"/>
    <cellStyle name="Hiperligação" xfId="147" builtinId="8" hidden="1"/>
    <cellStyle name="Hiperligação" xfId="149" builtinId="8" hidden="1"/>
    <cellStyle name="Hiperligação" xfId="151" builtinId="8" hidden="1"/>
    <cellStyle name="Hiperligação" xfId="153" builtinId="8" hidden="1"/>
    <cellStyle name="Hiperligação" xfId="155" builtinId="8" hidden="1"/>
    <cellStyle name="Hiperligação" xfId="157" builtinId="8" hidden="1"/>
    <cellStyle name="Hiperligação" xfId="159" builtinId="8" hidden="1"/>
    <cellStyle name="Hiperligação" xfId="161" builtinId="8" hidden="1"/>
    <cellStyle name="Hiperligação" xfId="163" builtinId="8" hidden="1"/>
    <cellStyle name="Hiperligação" xfId="165" builtinId="8" hidden="1"/>
    <cellStyle name="Hiperligação" xfId="167" builtinId="8" hidden="1"/>
    <cellStyle name="Hiperligação" xfId="169" builtinId="8" hidden="1"/>
    <cellStyle name="Hiperligação" xfId="171" builtinId="8" hidden="1"/>
    <cellStyle name="Hiperligação" xfId="173" builtinId="8" hidden="1"/>
    <cellStyle name="Hiperligação" xfId="175" builtinId="8" hidden="1"/>
    <cellStyle name="Hiperligação" xfId="177" builtinId="8" hidden="1"/>
    <cellStyle name="Hiperligação" xfId="179" builtinId="8" hidden="1"/>
    <cellStyle name="Hiperligação" xfId="181" builtinId="8" hidden="1"/>
    <cellStyle name="Hiperligação" xfId="183" builtinId="8" hidden="1"/>
    <cellStyle name="Hiperligação" xfId="185" builtinId="8" hidden="1"/>
    <cellStyle name="Hiperligação" xfId="187" builtinId="8" hidden="1"/>
    <cellStyle name="Hiperligação" xfId="189" builtinId="8" hidden="1"/>
    <cellStyle name="Hiperligação" xfId="191" builtinId="8" hidden="1"/>
    <cellStyle name="Hiperligação" xfId="193" builtinId="8" hidden="1"/>
    <cellStyle name="Hiperligação" xfId="195" builtinId="8" hidden="1"/>
    <cellStyle name="Hiperligação" xfId="197" builtinId="8" hidden="1"/>
    <cellStyle name="Hiperligação" xfId="199" builtinId="8" hidden="1"/>
    <cellStyle name="Hiperligação" xfId="201" builtinId="8" hidden="1"/>
    <cellStyle name="Hiperligação" xfId="203" builtinId="8" hidden="1"/>
    <cellStyle name="Hiperligação" xfId="205" builtinId="8" hidden="1"/>
    <cellStyle name="Hiperligação" xfId="207" builtinId="8" hidden="1"/>
    <cellStyle name="Hiperligação" xfId="209" builtinId="8" hidden="1"/>
    <cellStyle name="Hiperligação" xfId="211" builtinId="8" hidden="1"/>
    <cellStyle name="Hiperligação" xfId="213" builtinId="8" hidden="1"/>
    <cellStyle name="Hiperligação" xfId="215" builtinId="8" hidden="1"/>
    <cellStyle name="Hiperligação" xfId="217" builtinId="8" hidden="1"/>
    <cellStyle name="Hiperligação" xfId="219" builtinId="8" hidden="1"/>
    <cellStyle name="Hiperligação" xfId="221" builtinId="8" hidden="1"/>
    <cellStyle name="Hiperligação" xfId="223" builtinId="8" hidden="1"/>
    <cellStyle name="Hiperligação" xfId="225" builtinId="8" hidden="1"/>
    <cellStyle name="Hiperligação" xfId="227" builtinId="8" hidden="1"/>
    <cellStyle name="Hiperligação" xfId="229" builtinId="8" hidden="1"/>
    <cellStyle name="Hiperligação" xfId="231" builtinId="8" hidden="1"/>
    <cellStyle name="Hiperligação" xfId="233" builtinId="8" hidden="1"/>
    <cellStyle name="Hiperligação" xfId="235" builtinId="8" hidden="1"/>
    <cellStyle name="Hiperligação" xfId="237" builtinId="8" hidden="1"/>
    <cellStyle name="Hiperligação" xfId="239" builtinId="8" hidden="1"/>
    <cellStyle name="Hiperligação" xfId="241" builtinId="8" hidden="1"/>
    <cellStyle name="Hiperligação" xfId="243" builtinId="8" hidden="1"/>
    <cellStyle name="Hiperligação" xfId="245" builtinId="8" hidden="1"/>
    <cellStyle name="Hiperligação" xfId="247" builtinId="8" hidden="1"/>
    <cellStyle name="Hiperligação" xfId="249" builtinId="8" hidden="1"/>
    <cellStyle name="Hiperligação" xfId="251" builtinId="8" hidden="1"/>
    <cellStyle name="Hiperligação" xfId="253" builtinId="8" hidden="1"/>
    <cellStyle name="Hiperligação" xfId="255" builtinId="8" hidden="1"/>
    <cellStyle name="Hiperligação" xfId="257" builtinId="8" hidden="1"/>
    <cellStyle name="Hiperligação" xfId="259" builtinId="8" hidden="1"/>
    <cellStyle name="Hiperligação" xfId="261" builtinId="8" hidden="1"/>
    <cellStyle name="Hiperligação" xfId="263" builtinId="8" hidden="1"/>
    <cellStyle name="Hiperligação" xfId="265" builtinId="8" hidden="1"/>
    <cellStyle name="Hiperligação" xfId="267" builtinId="8" hidden="1"/>
    <cellStyle name="Hiperligação" xfId="269" builtinId="8" hidden="1"/>
    <cellStyle name="Hiperligação" xfId="271" builtinId="8" hidden="1"/>
    <cellStyle name="Hiperligação" xfId="273" builtinId="8" hidden="1"/>
    <cellStyle name="Hiperligação" xfId="275" builtinId="8" hidden="1"/>
    <cellStyle name="Hiperligação" xfId="277" builtinId="8" hidden="1"/>
    <cellStyle name="Hiperligação" xfId="279" builtinId="8" hidden="1"/>
    <cellStyle name="Hiperligação" xfId="281" builtinId="8" hidden="1"/>
    <cellStyle name="Hiperligação" xfId="283" builtinId="8" hidden="1"/>
    <cellStyle name="Hiperligação" xfId="285" builtinId="8" hidden="1"/>
    <cellStyle name="Hiperligação" xfId="287" builtinId="8" hidden="1"/>
    <cellStyle name="Hiperligação" xfId="289" builtinId="8" hidden="1"/>
    <cellStyle name="Hiperligação" xfId="291" builtinId="8" hidden="1"/>
    <cellStyle name="Hiperligação" xfId="293" builtinId="8" hidden="1"/>
    <cellStyle name="Hiperligação" xfId="295" builtinId="8" hidden="1"/>
    <cellStyle name="Hiperligação" xfId="297" builtinId="8" hidden="1"/>
    <cellStyle name="Hiperligação" xfId="299" builtinId="8" hidden="1"/>
    <cellStyle name="Hiperligação" xfId="301" builtinId="8" hidden="1"/>
    <cellStyle name="Hiperligação" xfId="303" builtinId="8" hidden="1"/>
    <cellStyle name="Hiperligação" xfId="305" builtinId="8" hidden="1"/>
    <cellStyle name="Hiperligação" xfId="307" builtinId="8" hidden="1"/>
    <cellStyle name="Hiperligação" xfId="309" builtinId="8" hidden="1"/>
    <cellStyle name="Hiperligação" xfId="311" builtinId="8" hidden="1"/>
    <cellStyle name="Hiperligação" xfId="313" builtinId="8" hidden="1"/>
    <cellStyle name="Hiperligação" xfId="315" builtinId="8" hidden="1"/>
    <cellStyle name="Hiperligação" xfId="317" builtinId="8" hidden="1"/>
    <cellStyle name="Hiperligação" xfId="319" builtinId="8" hidden="1"/>
    <cellStyle name="Hiperligação" xfId="321" builtinId="8" hidden="1"/>
    <cellStyle name="Hiperligação" xfId="323" builtinId="8" hidden="1"/>
    <cellStyle name="Hiperligação" xfId="325" builtinId="8" hidden="1"/>
    <cellStyle name="Hiperligação" xfId="327" builtinId="8" hidden="1"/>
    <cellStyle name="Hiperligação" xfId="329" builtinId="8" hidden="1"/>
    <cellStyle name="Hiperligação" xfId="331" builtinId="8" hidden="1"/>
    <cellStyle name="Hiperligação" xfId="333" builtinId="8" hidden="1"/>
    <cellStyle name="Hiperligação" xfId="335" builtinId="8" hidden="1"/>
    <cellStyle name="Hiperligação" xfId="337" builtinId="8" hidden="1"/>
    <cellStyle name="Hiperligação" xfId="339" builtinId="8" hidden="1"/>
    <cellStyle name="Hiperligação" xfId="341" builtinId="8" hidden="1"/>
    <cellStyle name="Hiperligação" xfId="343" builtinId="8" hidden="1"/>
    <cellStyle name="Hiperligação" xfId="345" builtinId="8" hidden="1"/>
    <cellStyle name="Hiperligação" xfId="347" builtinId="8" hidden="1"/>
    <cellStyle name="Hiperligação" xfId="349" builtinId="8" hidden="1"/>
    <cellStyle name="Hiperligação" xfId="351" builtinId="8" hidden="1"/>
    <cellStyle name="Hiperligação" xfId="353" builtinId="8" hidden="1"/>
    <cellStyle name="Hiperligação" xfId="355" builtinId="8" hidden="1"/>
    <cellStyle name="Hiperligação" xfId="357" builtinId="8" hidden="1"/>
    <cellStyle name="Hiperligação" xfId="359" builtinId="8" hidden="1"/>
    <cellStyle name="Hiperligação" xfId="361" builtinId="8" hidden="1"/>
    <cellStyle name="Hiperligação" xfId="363" builtinId="8" hidden="1"/>
    <cellStyle name="Hiperligação" xfId="365" builtinId="8" hidden="1"/>
    <cellStyle name="Hiperligação" xfId="367" builtinId="8" hidden="1"/>
    <cellStyle name="Hiperligação" xfId="369" builtinId="8" hidden="1"/>
    <cellStyle name="Hiperligação" xfId="371" builtinId="8" hidden="1"/>
    <cellStyle name="Hiperligação" xfId="373" builtinId="8" hidden="1"/>
    <cellStyle name="Hiperligação" xfId="375" builtinId="8" hidden="1"/>
    <cellStyle name="Hiperligação" xfId="377" builtinId="8" hidden="1"/>
    <cellStyle name="Hiperligação" xfId="379" builtinId="8" hidden="1"/>
    <cellStyle name="Hiperligação" xfId="381" builtinId="8" hidden="1"/>
    <cellStyle name="Hiperligação" xfId="383" builtinId="8" hidden="1"/>
    <cellStyle name="Hiperligação" xfId="385" builtinId="8" hidden="1"/>
    <cellStyle name="Hiperligação" xfId="387" builtinId="8" hidden="1"/>
    <cellStyle name="Hiperligação" xfId="389" builtinId="8" hidden="1"/>
    <cellStyle name="Hiperligação" xfId="391" builtinId="8" hidden="1"/>
    <cellStyle name="Hiperligação" xfId="393" builtinId="8" hidden="1"/>
    <cellStyle name="Hiperligação" xfId="395" builtinId="8" hidden="1"/>
    <cellStyle name="Hiperligação" xfId="397" builtinId="8" hidden="1"/>
    <cellStyle name="Hiperligação" xfId="399" builtinId="8" hidden="1"/>
    <cellStyle name="Hiperligação" xfId="401" builtinId="8" hidden="1"/>
    <cellStyle name="Hiperligação" xfId="403" builtinId="8" hidden="1"/>
    <cellStyle name="Hiperligação" xfId="405" builtinId="8" hidden="1"/>
    <cellStyle name="Hiperligação" xfId="407" builtinId="8" hidden="1"/>
    <cellStyle name="Hiperligação" xfId="409" builtinId="8" hidden="1"/>
    <cellStyle name="Hiperligação" xfId="411" builtinId="8" hidden="1"/>
    <cellStyle name="Hiperligação" xfId="413" builtinId="8" hidden="1"/>
    <cellStyle name="Hiperligação" xfId="415" builtinId="8" hidden="1"/>
    <cellStyle name="Hiperligação" xfId="417" builtinId="8" hidden="1"/>
    <cellStyle name="Hiperligação" xfId="419" builtinId="8" hidden="1"/>
    <cellStyle name="Hiperligação" xfId="421" builtinId="8" hidden="1"/>
    <cellStyle name="Hiperligação" xfId="423" builtinId="8" hidden="1"/>
    <cellStyle name="Hiperligação" xfId="425" builtinId="8" hidden="1"/>
    <cellStyle name="Hiperligação" xfId="427" builtinId="8" hidden="1"/>
    <cellStyle name="Hiperligação" xfId="429" builtinId="8" hidden="1"/>
    <cellStyle name="Hiperligação" xfId="431" builtinId="8" hidden="1"/>
    <cellStyle name="Hiperligação" xfId="433" builtinId="8" hidden="1"/>
    <cellStyle name="Hiperligação" xfId="435" builtinId="8" hidden="1"/>
    <cellStyle name="Hiperligação" xfId="437" builtinId="8" hidden="1"/>
    <cellStyle name="Hiperligação" xfId="439" builtinId="8" hidden="1"/>
    <cellStyle name="Hiperligação" xfId="441" builtinId="8" hidden="1"/>
    <cellStyle name="Hiperligação" xfId="443" builtinId="8" hidden="1"/>
    <cellStyle name="Hiperligação" xfId="445" builtinId="8" hidden="1"/>
    <cellStyle name="Hiperligação" xfId="447" builtinId="8" hidden="1"/>
    <cellStyle name="Hiperligação" xfId="449" builtinId="8" hidden="1"/>
    <cellStyle name="Hiperligação" xfId="451" builtinId="8" hidden="1"/>
    <cellStyle name="Hiperligação" xfId="453" builtinId="8" hidden="1"/>
    <cellStyle name="Hiperligação" xfId="455" builtinId="8" hidden="1"/>
    <cellStyle name="Hiperligação" xfId="457" builtinId="8" hidden="1"/>
    <cellStyle name="Hiperligação" xfId="459" builtinId="8" hidden="1"/>
    <cellStyle name="Hiperligação" xfId="461" builtinId="8" hidden="1"/>
    <cellStyle name="Hiperligação" xfId="463" builtinId="8" hidden="1"/>
    <cellStyle name="Hiperligação" xfId="465" builtinId="8" hidden="1"/>
    <cellStyle name="Hiperligação" xfId="467" builtinId="8" hidden="1"/>
    <cellStyle name="Hiperligação" xfId="469" builtinId="8" hidden="1"/>
    <cellStyle name="Hiperligação" xfId="471" builtinId="8" hidden="1"/>
    <cellStyle name="Hiperligação" xfId="473" builtinId="8" hidden="1"/>
    <cellStyle name="Hiperligação" xfId="475" builtinId="8" hidden="1"/>
    <cellStyle name="Hiperligação" xfId="477" builtinId="8" hidden="1"/>
    <cellStyle name="Hiperligação" xfId="479" builtinId="8" hidden="1"/>
    <cellStyle name="Hiperligação" xfId="481" builtinId="8" hidden="1"/>
    <cellStyle name="Hiperligação" xfId="483" builtinId="8" hidden="1"/>
    <cellStyle name="Hiperligação" xfId="485" builtinId="8" hidden="1"/>
    <cellStyle name="Hiperligação" xfId="487" builtinId="8" hidden="1"/>
    <cellStyle name="Hiperligação" xfId="489" builtinId="8" hidden="1"/>
    <cellStyle name="Hiperligação" xfId="491" builtinId="8" hidden="1"/>
    <cellStyle name="Hiperligação" xfId="493" builtinId="8" hidden="1"/>
    <cellStyle name="Hiperligação" xfId="495" builtinId="8" hidden="1"/>
    <cellStyle name="Hiperligação" xfId="497" builtinId="8" hidden="1"/>
    <cellStyle name="Hiperligação" xfId="499" builtinId="8" hidden="1"/>
    <cellStyle name="Hiperligação" xfId="501" builtinId="8" hidden="1"/>
    <cellStyle name="Hiperligação" xfId="503" builtinId="8" hidden="1"/>
    <cellStyle name="Hiperligação" xfId="505" builtinId="8" hidden="1"/>
    <cellStyle name="Hiperligação" xfId="507" builtinId="8" hidden="1"/>
    <cellStyle name="Hiperligação" xfId="509" builtinId="8" hidden="1"/>
    <cellStyle name="Hiperligação" xfId="511" builtinId="8" hidden="1"/>
    <cellStyle name="Hiperligação" xfId="513" builtinId="8" hidden="1"/>
    <cellStyle name="Hiperligação" xfId="515" builtinId="8" hidden="1"/>
    <cellStyle name="Hiperligação" xfId="517" builtinId="8" hidden="1"/>
    <cellStyle name="Hiperligação" xfId="519" builtinId="8" hidden="1"/>
    <cellStyle name="Hiperligação" xfId="521" builtinId="8" hidden="1"/>
    <cellStyle name="Hiperligação" xfId="523" builtinId="8" hidden="1"/>
    <cellStyle name="Hiperligação" xfId="525" builtinId="8" hidden="1"/>
    <cellStyle name="Hiperligação" xfId="527" builtinId="8" hidden="1"/>
    <cellStyle name="Hiperligação" xfId="529" builtinId="8" hidden="1"/>
    <cellStyle name="Hiperligação" xfId="531" builtinId="8" hidden="1"/>
    <cellStyle name="Hiperligação" xfId="533" builtinId="8" hidden="1"/>
    <cellStyle name="Hiperligação" xfId="535" builtinId="8" hidden="1"/>
    <cellStyle name="Hiperligação" xfId="537" builtinId="8" hidden="1"/>
    <cellStyle name="Hiperligação" xfId="539" builtinId="8" hidden="1"/>
    <cellStyle name="Hiperligação" xfId="541" builtinId="8" hidden="1"/>
    <cellStyle name="Hiperligação" xfId="543" builtinId="8" hidden="1"/>
    <cellStyle name="Hiperligação" xfId="545" builtinId="8" hidden="1"/>
    <cellStyle name="Hiperligação" xfId="547" builtinId="8" hidden="1"/>
    <cellStyle name="Hiperligação" xfId="549" builtinId="8" hidden="1"/>
    <cellStyle name="Hiperligação" xfId="551" builtinId="8" hidden="1"/>
    <cellStyle name="Hiperligação" xfId="553" builtinId="8" hidden="1"/>
    <cellStyle name="Hiperligação" xfId="555" builtinId="8" hidden="1"/>
    <cellStyle name="Hiperligação" xfId="557" builtinId="8" hidden="1"/>
    <cellStyle name="Hiperligação" xfId="559" builtinId="8" hidden="1"/>
    <cellStyle name="Hiperligação" xfId="561" builtinId="8" hidden="1"/>
    <cellStyle name="Hiperligação" xfId="563" builtinId="8" hidden="1"/>
    <cellStyle name="Hiperligação" xfId="565" builtinId="8" hidden="1"/>
    <cellStyle name="Hiperligação" xfId="567" builtinId="8" hidden="1"/>
    <cellStyle name="Hiperligação" xfId="569" builtinId="8" hidden="1"/>
    <cellStyle name="Hiperligação" xfId="571" builtinId="8" hidden="1"/>
    <cellStyle name="Hiperligação" xfId="573" builtinId="8" hidden="1"/>
    <cellStyle name="Hiperligação" xfId="575" builtinId="8" hidden="1"/>
    <cellStyle name="Hiperligação" xfId="577" builtinId="8" hidden="1"/>
    <cellStyle name="Hiperligação" xfId="579" builtinId="8" hidden="1"/>
    <cellStyle name="Hiperligação" xfId="581" builtinId="8" hidden="1"/>
    <cellStyle name="Hiperligação" xfId="583" builtinId="8" hidden="1"/>
    <cellStyle name="Hiperligação" xfId="585" builtinId="8" hidden="1"/>
    <cellStyle name="Hiperligação" xfId="587" builtinId="8" hidden="1"/>
    <cellStyle name="Hiperligação" xfId="589" builtinId="8" hidden="1"/>
    <cellStyle name="Hiperligação" xfId="591" builtinId="8" hidden="1"/>
    <cellStyle name="Hiperligação" xfId="593" builtinId="8" hidden="1"/>
    <cellStyle name="Hiperligação" xfId="595" builtinId="8" hidden="1"/>
    <cellStyle name="Hiperligação" xfId="597" builtinId="8" hidden="1"/>
    <cellStyle name="Hiperligação" xfId="599" builtinId="8" hidden="1"/>
    <cellStyle name="Hiperligação" xfId="601" builtinId="8" hidden="1"/>
    <cellStyle name="Hiperligação" xfId="603" builtinId="8" hidden="1"/>
    <cellStyle name="Hiperligação" xfId="605" builtinId="8" hidden="1"/>
    <cellStyle name="Hiperligação" xfId="607" builtinId="8" hidden="1"/>
    <cellStyle name="Hiperligação" xfId="609" builtinId="8" hidden="1"/>
    <cellStyle name="Hiperligação" xfId="611" builtinId="8" hidden="1"/>
    <cellStyle name="Hiperligação" xfId="613" builtinId="8" hidden="1"/>
    <cellStyle name="Hiperligação" xfId="615" builtinId="8" hidden="1"/>
    <cellStyle name="Hiperligação" xfId="617" builtinId="8" hidden="1"/>
    <cellStyle name="Hiperligação" xfId="619" builtinId="8" hidden="1"/>
    <cellStyle name="Hiperligação" xfId="621" builtinId="8" hidden="1"/>
    <cellStyle name="Hiperligação" xfId="623" builtinId="8" hidden="1"/>
    <cellStyle name="Hiperligação" xfId="625" builtinId="8" hidden="1"/>
    <cellStyle name="Hiperligação" xfId="627" builtinId="8" hidden="1"/>
    <cellStyle name="Hiperligação" xfId="629" builtinId="8" hidden="1"/>
    <cellStyle name="Hiperligação" xfId="631" builtinId="8" hidden="1"/>
    <cellStyle name="Hiperligação" xfId="633" builtinId="8" hidden="1"/>
    <cellStyle name="Hiperligação" xfId="635" builtinId="8" hidden="1"/>
    <cellStyle name="Hiperligação" xfId="637" builtinId="8" hidden="1"/>
    <cellStyle name="Hiperligação" xfId="639" builtinId="8" hidden="1"/>
    <cellStyle name="Hiperligação" xfId="641" builtinId="8" hidden="1"/>
    <cellStyle name="Hiperligação" xfId="643" builtinId="8" hidden="1"/>
    <cellStyle name="Hiperligação" xfId="645" builtinId="8" hidden="1"/>
    <cellStyle name="Hiperligação" xfId="647" builtinId="8" hidden="1"/>
    <cellStyle name="Hiperligação" xfId="649" builtinId="8" hidden="1"/>
    <cellStyle name="Hiperligação" xfId="651" builtinId="8" hidden="1"/>
    <cellStyle name="Hiperligação" xfId="653" builtinId="8" hidden="1"/>
    <cellStyle name="Hiperligação" xfId="655" builtinId="8" hidden="1"/>
    <cellStyle name="Hiperligação" xfId="657" builtinId="8" hidden="1"/>
    <cellStyle name="Hiperligação" xfId="659" builtinId="8" hidden="1"/>
    <cellStyle name="Hiperligação" xfId="661" builtinId="8" hidden="1"/>
    <cellStyle name="Hiperligação" xfId="663" builtinId="8" hidden="1"/>
    <cellStyle name="Hiperligação" xfId="665" builtinId="8" hidden="1"/>
    <cellStyle name="Hiperligação" xfId="667" builtinId="8" hidden="1"/>
    <cellStyle name="Hiperligação" xfId="669" builtinId="8" hidden="1"/>
    <cellStyle name="Hiperligação" xfId="671" builtinId="8" hidden="1"/>
    <cellStyle name="Hiperligação" xfId="673" builtinId="8" hidden="1"/>
    <cellStyle name="Hiperligação" xfId="675" builtinId="8" hidden="1"/>
    <cellStyle name="Hiperligação" xfId="677" builtinId="8" hidden="1"/>
    <cellStyle name="Hiperligação" xfId="679" builtinId="8" hidden="1"/>
    <cellStyle name="Hiperligação" xfId="681" builtinId="8" hidden="1"/>
    <cellStyle name="Hiperligação" xfId="683" builtinId="8" hidden="1"/>
    <cellStyle name="Hiperligação" xfId="685" builtinId="8" hidden="1"/>
    <cellStyle name="Hiperligação" xfId="687" builtinId="8" hidden="1"/>
    <cellStyle name="Hiperligação" xfId="689" builtinId="8" hidden="1"/>
    <cellStyle name="Hiperligação" xfId="691" builtinId="8" hidden="1"/>
    <cellStyle name="Hiperligação" xfId="693" builtinId="8" hidden="1"/>
    <cellStyle name="Hiperligação" xfId="695" builtinId="8" hidden="1"/>
    <cellStyle name="Hiperligação" xfId="697" builtinId="8" hidden="1"/>
    <cellStyle name="Hiperligação" xfId="699" builtinId="8" hidden="1"/>
    <cellStyle name="Hiperligação" xfId="701" builtinId="8" hidden="1"/>
    <cellStyle name="Hiperligação" xfId="703" builtinId="8" hidden="1"/>
    <cellStyle name="Hiperligação" xfId="705" builtinId="8" hidden="1"/>
    <cellStyle name="Hiperligação" xfId="707" builtinId="8" hidden="1"/>
    <cellStyle name="Hiperligação" xfId="709" builtinId="8" hidden="1"/>
    <cellStyle name="Hiperligação Visitada" xfId="15" builtinId="9" hidden="1"/>
    <cellStyle name="Hiperligação Visitada" xfId="17" builtinId="9" hidden="1"/>
    <cellStyle name="Hiperligação Visitada" xfId="19" builtinId="9" hidden="1"/>
    <cellStyle name="Hiperligação Visitada" xfId="22" builtinId="9" hidden="1"/>
    <cellStyle name="Hiperligação Visitada" xfId="24" builtinId="9" hidden="1"/>
    <cellStyle name="Hiperligação Visitada" xfId="26" builtinId="9" hidden="1"/>
    <cellStyle name="Hiperligação Visitada" xfId="28" builtinId="9" hidden="1"/>
    <cellStyle name="Hiperligação Visitada" xfId="30" builtinId="9" hidden="1"/>
    <cellStyle name="Hiperligação Visitada" xfId="32" builtinId="9" hidden="1"/>
    <cellStyle name="Hiperligação Visitada" xfId="34" builtinId="9" hidden="1"/>
    <cellStyle name="Hiperligação Visitada" xfId="36" builtinId="9" hidden="1"/>
    <cellStyle name="Hiperligação Visitada" xfId="38" builtinId="9" hidden="1"/>
    <cellStyle name="Hiperligação Visitada" xfId="40" builtinId="9" hidden="1"/>
    <cellStyle name="Hiperligação Visitada" xfId="42" builtinId="9" hidden="1"/>
    <cellStyle name="Hiperligação Visitada" xfId="44" builtinId="9" hidden="1"/>
    <cellStyle name="Hiperligação Visitada" xfId="46" builtinId="9" hidden="1"/>
    <cellStyle name="Hiperligação Visitada" xfId="48" builtinId="9" hidden="1"/>
    <cellStyle name="Hiperligação Visitada" xfId="50" builtinId="9" hidden="1"/>
    <cellStyle name="Hiperligação Visitada" xfId="52" builtinId="9" hidden="1"/>
    <cellStyle name="Hiperligação Visitada" xfId="54" builtinId="9" hidden="1"/>
    <cellStyle name="Hiperligação Visitada" xfId="56" builtinId="9" hidden="1"/>
    <cellStyle name="Hiperligação Visitada" xfId="58" builtinId="9" hidden="1"/>
    <cellStyle name="Hiperligação Visitada" xfId="60" builtinId="9" hidden="1"/>
    <cellStyle name="Hiperligação Visitada" xfId="62" builtinId="9" hidden="1"/>
    <cellStyle name="Hiperligação Visitada" xfId="64" builtinId="9" hidden="1"/>
    <cellStyle name="Hiperligação Visitada" xfId="66" builtinId="9" hidden="1"/>
    <cellStyle name="Hiperligação Visitada" xfId="68" builtinId="9" hidden="1"/>
    <cellStyle name="Hiperligação Visitada" xfId="70" builtinId="9" hidden="1"/>
    <cellStyle name="Hiperligação Visitada" xfId="72" builtinId="9" hidden="1"/>
    <cellStyle name="Hiperligação Visitada" xfId="74" builtinId="9" hidden="1"/>
    <cellStyle name="Hiperligação Visitada" xfId="76" builtinId="9" hidden="1"/>
    <cellStyle name="Hiperligação Visitada" xfId="78" builtinId="9" hidden="1"/>
    <cellStyle name="Hiperligação Visitada" xfId="80" builtinId="9" hidden="1"/>
    <cellStyle name="Hiperligação Visitada" xfId="82" builtinId="9" hidden="1"/>
    <cellStyle name="Hiperligação Visitada" xfId="84" builtinId="9" hidden="1"/>
    <cellStyle name="Hiperligação Visitada" xfId="86" builtinId="9" hidden="1"/>
    <cellStyle name="Hiperligação Visitada" xfId="88" builtinId="9" hidden="1"/>
    <cellStyle name="Hiperligação Visitada" xfId="90" builtinId="9" hidden="1"/>
    <cellStyle name="Hiperligação Visitada" xfId="92" builtinId="9" hidden="1"/>
    <cellStyle name="Hiperligação Visitada" xfId="94" builtinId="9" hidden="1"/>
    <cellStyle name="Hiperligação Visitada" xfId="96" builtinId="9" hidden="1"/>
    <cellStyle name="Hiperligação Visitada" xfId="98" builtinId="9" hidden="1"/>
    <cellStyle name="Hiperligação Visitada" xfId="100" builtinId="9" hidden="1"/>
    <cellStyle name="Hiperligação Visitada" xfId="102" builtinId="9" hidden="1"/>
    <cellStyle name="Hiperligação Visitada" xfId="104" builtinId="9" hidden="1"/>
    <cellStyle name="Hiperligação Visitada" xfId="106" builtinId="9" hidden="1"/>
    <cellStyle name="Hiperligação Visitada" xfId="108" builtinId="9" hidden="1"/>
    <cellStyle name="Hiperligação Visitada" xfId="110" builtinId="9" hidden="1"/>
    <cellStyle name="Hiperligação Visitada" xfId="112" builtinId="9" hidden="1"/>
    <cellStyle name="Hiperligação Visitada" xfId="114" builtinId="9" hidden="1"/>
    <cellStyle name="Hiperligação Visitada" xfId="116" builtinId="9" hidden="1"/>
    <cellStyle name="Hiperligação Visitada" xfId="118" builtinId="9" hidden="1"/>
    <cellStyle name="Hiperligação Visitada" xfId="120" builtinId="9" hidden="1"/>
    <cellStyle name="Hiperligação Visitada" xfId="122" builtinId="9" hidden="1"/>
    <cellStyle name="Hiperligação Visitada" xfId="124" builtinId="9" hidden="1"/>
    <cellStyle name="Hiperligação Visitada" xfId="126" builtinId="9" hidden="1"/>
    <cellStyle name="Hiperligação Visitada" xfId="128" builtinId="9" hidden="1"/>
    <cellStyle name="Hiperligação Visitada" xfId="130" builtinId="9" hidden="1"/>
    <cellStyle name="Hiperligação Visitada" xfId="132" builtinId="9" hidden="1"/>
    <cellStyle name="Hiperligação Visitada" xfId="134" builtinId="9" hidden="1"/>
    <cellStyle name="Hiperligação Visitada" xfId="136" builtinId="9" hidden="1"/>
    <cellStyle name="Hiperligação Visitada" xfId="138" builtinId="9" hidden="1"/>
    <cellStyle name="Hiperligação Visitada" xfId="140" builtinId="9" hidden="1"/>
    <cellStyle name="Hiperligação Visitada" xfId="142" builtinId="9" hidden="1"/>
    <cellStyle name="Hiperligação Visitada" xfId="144" builtinId="9" hidden="1"/>
    <cellStyle name="Hiperligação Visitada" xfId="146" builtinId="9" hidden="1"/>
    <cellStyle name="Hiperligação Visitada" xfId="148" builtinId="9" hidden="1"/>
    <cellStyle name="Hiperligação Visitada" xfId="150" builtinId="9" hidden="1"/>
    <cellStyle name="Hiperligação Visitada" xfId="152" builtinId="9" hidden="1"/>
    <cellStyle name="Hiperligação Visitada" xfId="154" builtinId="9" hidden="1"/>
    <cellStyle name="Hiperligação Visitada" xfId="156" builtinId="9" hidden="1"/>
    <cellStyle name="Hiperligação Visitada" xfId="158" builtinId="9" hidden="1"/>
    <cellStyle name="Hiperligação Visitada" xfId="160" builtinId="9" hidden="1"/>
    <cellStyle name="Hiperligação Visitada" xfId="162" builtinId="9" hidden="1"/>
    <cellStyle name="Hiperligação Visitada" xfId="164" builtinId="9" hidden="1"/>
    <cellStyle name="Hiperligação Visitada" xfId="166" builtinId="9" hidden="1"/>
    <cellStyle name="Hiperligação Visitada" xfId="168" builtinId="9" hidden="1"/>
    <cellStyle name="Hiperligação Visitada" xfId="170" builtinId="9" hidden="1"/>
    <cellStyle name="Hiperligação Visitada" xfId="172" builtinId="9" hidden="1"/>
    <cellStyle name="Hiperligação Visitada" xfId="174" builtinId="9" hidden="1"/>
    <cellStyle name="Hiperligação Visitada" xfId="176" builtinId="9" hidden="1"/>
    <cellStyle name="Hiperligação Visitada" xfId="178" builtinId="9" hidden="1"/>
    <cellStyle name="Hiperligação Visitada" xfId="180" builtinId="9" hidden="1"/>
    <cellStyle name="Hiperligação Visitada" xfId="182" builtinId="9" hidden="1"/>
    <cellStyle name="Hiperligação Visitada" xfId="184" builtinId="9" hidden="1"/>
    <cellStyle name="Hiperligação Visitada" xfId="186" builtinId="9" hidden="1"/>
    <cellStyle name="Hiperligação Visitada" xfId="188" builtinId="9" hidden="1"/>
    <cellStyle name="Hiperligação Visitada" xfId="190" builtinId="9" hidden="1"/>
    <cellStyle name="Hiperligação Visitada" xfId="192" builtinId="9" hidden="1"/>
    <cellStyle name="Hiperligação Visitada" xfId="194" builtinId="9" hidden="1"/>
    <cellStyle name="Hiperligação Visitada" xfId="196" builtinId="9" hidden="1"/>
    <cellStyle name="Hiperligação Visitada" xfId="198" builtinId="9" hidden="1"/>
    <cellStyle name="Hiperligação Visitada" xfId="200" builtinId="9" hidden="1"/>
    <cellStyle name="Hiperligação Visitada" xfId="202" builtinId="9" hidden="1"/>
    <cellStyle name="Hiperligação Visitada" xfId="204" builtinId="9" hidden="1"/>
    <cellStyle name="Hiperligação Visitada" xfId="206" builtinId="9" hidden="1"/>
    <cellStyle name="Hiperligação Visitada" xfId="208" builtinId="9" hidden="1"/>
    <cellStyle name="Hiperligação Visitada" xfId="210" builtinId="9" hidden="1"/>
    <cellStyle name="Hiperligação Visitada" xfId="212" builtinId="9" hidden="1"/>
    <cellStyle name="Hiperligação Visitada" xfId="214" builtinId="9" hidden="1"/>
    <cellStyle name="Hiperligação Visitada" xfId="216" builtinId="9" hidden="1"/>
    <cellStyle name="Hiperligação Visitada" xfId="218" builtinId="9" hidden="1"/>
    <cellStyle name="Hiperligação Visitada" xfId="220" builtinId="9" hidden="1"/>
    <cellStyle name="Hiperligação Visitada" xfId="222" builtinId="9" hidden="1"/>
    <cellStyle name="Hiperligação Visitada" xfId="224" builtinId="9" hidden="1"/>
    <cellStyle name="Hiperligação Visitada" xfId="226" builtinId="9" hidden="1"/>
    <cellStyle name="Hiperligação Visitada" xfId="228" builtinId="9" hidden="1"/>
    <cellStyle name="Hiperligação Visitada" xfId="230" builtinId="9" hidden="1"/>
    <cellStyle name="Hiperligação Visitada" xfId="232" builtinId="9" hidden="1"/>
    <cellStyle name="Hiperligação Visitada" xfId="234" builtinId="9" hidden="1"/>
    <cellStyle name="Hiperligação Visitada" xfId="236" builtinId="9" hidden="1"/>
    <cellStyle name="Hiperligação Visitada" xfId="238" builtinId="9" hidden="1"/>
    <cellStyle name="Hiperligação Visitada" xfId="240" builtinId="9" hidden="1"/>
    <cellStyle name="Hiperligação Visitada" xfId="242" builtinId="9" hidden="1"/>
    <cellStyle name="Hiperligação Visitada" xfId="244" builtinId="9" hidden="1"/>
    <cellStyle name="Hiperligação Visitada" xfId="246" builtinId="9" hidden="1"/>
    <cellStyle name="Hiperligação Visitada" xfId="248" builtinId="9" hidden="1"/>
    <cellStyle name="Hiperligação Visitada" xfId="250" builtinId="9" hidden="1"/>
    <cellStyle name="Hiperligação Visitada" xfId="252" builtinId="9" hidden="1"/>
    <cellStyle name="Hiperligação Visitada" xfId="254" builtinId="9" hidden="1"/>
    <cellStyle name="Hiperligação Visitada" xfId="256" builtinId="9" hidden="1"/>
    <cellStyle name="Hiperligação Visitada" xfId="258" builtinId="9" hidden="1"/>
    <cellStyle name="Hiperligação Visitada" xfId="260" builtinId="9" hidden="1"/>
    <cellStyle name="Hiperligação Visitada" xfId="262" builtinId="9" hidden="1"/>
    <cellStyle name="Hiperligação Visitada" xfId="264" builtinId="9" hidden="1"/>
    <cellStyle name="Hiperligação Visitada" xfId="266" builtinId="9" hidden="1"/>
    <cellStyle name="Hiperligação Visitada" xfId="268" builtinId="9" hidden="1"/>
    <cellStyle name="Hiperligação Visitada" xfId="270" builtinId="9" hidden="1"/>
    <cellStyle name="Hiperligação Visitada" xfId="272" builtinId="9" hidden="1"/>
    <cellStyle name="Hiperligação Visitada" xfId="274" builtinId="9" hidden="1"/>
    <cellStyle name="Hiperligação Visitada" xfId="276" builtinId="9" hidden="1"/>
    <cellStyle name="Hiperligação Visitada" xfId="278" builtinId="9" hidden="1"/>
    <cellStyle name="Hiperligação Visitada" xfId="280" builtinId="9" hidden="1"/>
    <cellStyle name="Hiperligação Visitada" xfId="282" builtinId="9" hidden="1"/>
    <cellStyle name="Hiperligação Visitada" xfId="284" builtinId="9" hidden="1"/>
    <cellStyle name="Hiperligação Visitada" xfId="286" builtinId="9" hidden="1"/>
    <cellStyle name="Hiperligação Visitada" xfId="288" builtinId="9" hidden="1"/>
    <cellStyle name="Hiperligação Visitada" xfId="290" builtinId="9" hidden="1"/>
    <cellStyle name="Hiperligação Visitada" xfId="292" builtinId="9" hidden="1"/>
    <cellStyle name="Hiperligação Visitada" xfId="294" builtinId="9" hidden="1"/>
    <cellStyle name="Hiperligação Visitada" xfId="296" builtinId="9" hidden="1"/>
    <cellStyle name="Hiperligação Visitada" xfId="298" builtinId="9" hidden="1"/>
    <cellStyle name="Hiperligação Visitada" xfId="300" builtinId="9" hidden="1"/>
    <cellStyle name="Hiperligação Visitada" xfId="302" builtinId="9" hidden="1"/>
    <cellStyle name="Hiperligação Visitada" xfId="304" builtinId="9" hidden="1"/>
    <cellStyle name="Hiperligação Visitada" xfId="306" builtinId="9" hidden="1"/>
    <cellStyle name="Hiperligação Visitada" xfId="308" builtinId="9" hidden="1"/>
    <cellStyle name="Hiperligação Visitada" xfId="310" builtinId="9" hidden="1"/>
    <cellStyle name="Hiperligação Visitada" xfId="312" builtinId="9" hidden="1"/>
    <cellStyle name="Hiperligação Visitada" xfId="314" builtinId="9" hidden="1"/>
    <cellStyle name="Hiperligação Visitada" xfId="316" builtinId="9" hidden="1"/>
    <cellStyle name="Hiperligação Visitada" xfId="318" builtinId="9" hidden="1"/>
    <cellStyle name="Hiperligação Visitada" xfId="320" builtinId="9" hidden="1"/>
    <cellStyle name="Hiperligação Visitada" xfId="322" builtinId="9" hidden="1"/>
    <cellStyle name="Hiperligação Visitada" xfId="324" builtinId="9" hidden="1"/>
    <cellStyle name="Hiperligação Visitada" xfId="326" builtinId="9" hidden="1"/>
    <cellStyle name="Hiperligação Visitada" xfId="328" builtinId="9" hidden="1"/>
    <cellStyle name="Hiperligação Visitada" xfId="330" builtinId="9" hidden="1"/>
    <cellStyle name="Hiperligação Visitada" xfId="332" builtinId="9" hidden="1"/>
    <cellStyle name="Hiperligação Visitada" xfId="334" builtinId="9" hidden="1"/>
    <cellStyle name="Hiperligação Visitada" xfId="336" builtinId="9" hidden="1"/>
    <cellStyle name="Hiperligação Visitada" xfId="338" builtinId="9" hidden="1"/>
    <cellStyle name="Hiperligação Visitada" xfId="340" builtinId="9" hidden="1"/>
    <cellStyle name="Hiperligação Visitada" xfId="342" builtinId="9" hidden="1"/>
    <cellStyle name="Hiperligação Visitada" xfId="344" builtinId="9" hidden="1"/>
    <cellStyle name="Hiperligação Visitada" xfId="346" builtinId="9" hidden="1"/>
    <cellStyle name="Hiperligação Visitada" xfId="348" builtinId="9" hidden="1"/>
    <cellStyle name="Hiperligação Visitada" xfId="350" builtinId="9" hidden="1"/>
    <cellStyle name="Hiperligação Visitada" xfId="352" builtinId="9" hidden="1"/>
    <cellStyle name="Hiperligação Visitada" xfId="354" builtinId="9" hidden="1"/>
    <cellStyle name="Hiperligação Visitada" xfId="356" builtinId="9" hidden="1"/>
    <cellStyle name="Hiperligação Visitada" xfId="358" builtinId="9" hidden="1"/>
    <cellStyle name="Hiperligação Visitada" xfId="360" builtinId="9" hidden="1"/>
    <cellStyle name="Hiperligação Visitada" xfId="362" builtinId="9" hidden="1"/>
    <cellStyle name="Hiperligação Visitada" xfId="364" builtinId="9" hidden="1"/>
    <cellStyle name="Hiperligação Visitada" xfId="366" builtinId="9" hidden="1"/>
    <cellStyle name="Hiperligação Visitada" xfId="368" builtinId="9" hidden="1"/>
    <cellStyle name="Hiperligação Visitada" xfId="370" builtinId="9" hidden="1"/>
    <cellStyle name="Hiperligação Visitada" xfId="372" builtinId="9" hidden="1"/>
    <cellStyle name="Hiperligação Visitada" xfId="374" builtinId="9" hidden="1"/>
    <cellStyle name="Hiperligação Visitada" xfId="376" builtinId="9" hidden="1"/>
    <cellStyle name="Hiperligação Visitada" xfId="378" builtinId="9" hidden="1"/>
    <cellStyle name="Hiperligação Visitada" xfId="380" builtinId="9" hidden="1"/>
    <cellStyle name="Hiperligação Visitada" xfId="382" builtinId="9" hidden="1"/>
    <cellStyle name="Hiperligação Visitada" xfId="384" builtinId="9" hidden="1"/>
    <cellStyle name="Hiperligação Visitada" xfId="386" builtinId="9" hidden="1"/>
    <cellStyle name="Hiperligação Visitada" xfId="388" builtinId="9" hidden="1"/>
    <cellStyle name="Hiperligação Visitada" xfId="390" builtinId="9" hidden="1"/>
    <cellStyle name="Hiperligação Visitada" xfId="392" builtinId="9" hidden="1"/>
    <cellStyle name="Hiperligação Visitada" xfId="394" builtinId="9" hidden="1"/>
    <cellStyle name="Hiperligação Visitada" xfId="396" builtinId="9" hidden="1"/>
    <cellStyle name="Hiperligação Visitada" xfId="398" builtinId="9" hidden="1"/>
    <cellStyle name="Hiperligação Visitada" xfId="400" builtinId="9" hidden="1"/>
    <cellStyle name="Hiperligação Visitada" xfId="402" builtinId="9" hidden="1"/>
    <cellStyle name="Hiperligação Visitada" xfId="404" builtinId="9" hidden="1"/>
    <cellStyle name="Hiperligação Visitada" xfId="406" builtinId="9" hidden="1"/>
    <cellStyle name="Hiperligação Visitada" xfId="408" builtinId="9" hidden="1"/>
    <cellStyle name="Hiperligação Visitada" xfId="410" builtinId="9" hidden="1"/>
    <cellStyle name="Hiperligação Visitada" xfId="412" builtinId="9" hidden="1"/>
    <cellStyle name="Hiperligação Visitada" xfId="414" builtinId="9" hidden="1"/>
    <cellStyle name="Hiperligação Visitada" xfId="416" builtinId="9" hidden="1"/>
    <cellStyle name="Hiperligação Visitada" xfId="418" builtinId="9" hidden="1"/>
    <cellStyle name="Hiperligação Visitada" xfId="420" builtinId="9" hidden="1"/>
    <cellStyle name="Hiperligação Visitada" xfId="422" builtinId="9" hidden="1"/>
    <cellStyle name="Hiperligação Visitada" xfId="424" builtinId="9" hidden="1"/>
    <cellStyle name="Hiperligação Visitada" xfId="426" builtinId="9" hidden="1"/>
    <cellStyle name="Hiperligação Visitada" xfId="428" builtinId="9" hidden="1"/>
    <cellStyle name="Hiperligação Visitada" xfId="430" builtinId="9" hidden="1"/>
    <cellStyle name="Hiperligação Visitada" xfId="432" builtinId="9" hidden="1"/>
    <cellStyle name="Hiperligação Visitada" xfId="434" builtinId="9" hidden="1"/>
    <cellStyle name="Hiperligação Visitada" xfId="436" builtinId="9" hidden="1"/>
    <cellStyle name="Hiperligação Visitada" xfId="438" builtinId="9" hidden="1"/>
    <cellStyle name="Hiperligação Visitada" xfId="440" builtinId="9" hidden="1"/>
    <cellStyle name="Hiperligação Visitada" xfId="442" builtinId="9" hidden="1"/>
    <cellStyle name="Hiperligação Visitada" xfId="444" builtinId="9" hidden="1"/>
    <cellStyle name="Hiperligação Visitada" xfId="446" builtinId="9" hidden="1"/>
    <cellStyle name="Hiperligação Visitada" xfId="448" builtinId="9" hidden="1"/>
    <cellStyle name="Hiperligação Visitada" xfId="450" builtinId="9" hidden="1"/>
    <cellStyle name="Hiperligação Visitada" xfId="452" builtinId="9" hidden="1"/>
    <cellStyle name="Hiperligação Visitada" xfId="454" builtinId="9" hidden="1"/>
    <cellStyle name="Hiperligação Visitada" xfId="456" builtinId="9" hidden="1"/>
    <cellStyle name="Hiperligação Visitada" xfId="458" builtinId="9" hidden="1"/>
    <cellStyle name="Hiperligação Visitada" xfId="460" builtinId="9" hidden="1"/>
    <cellStyle name="Hiperligação Visitada" xfId="462" builtinId="9" hidden="1"/>
    <cellStyle name="Hiperligação Visitada" xfId="464" builtinId="9" hidden="1"/>
    <cellStyle name="Hiperligação Visitada" xfId="466" builtinId="9" hidden="1"/>
    <cellStyle name="Hiperligação Visitada" xfId="468" builtinId="9" hidden="1"/>
    <cellStyle name="Hiperligação Visitada" xfId="470" builtinId="9" hidden="1"/>
    <cellStyle name="Hiperligação Visitada" xfId="472" builtinId="9" hidden="1"/>
    <cellStyle name="Hiperligação Visitada" xfId="474" builtinId="9" hidden="1"/>
    <cellStyle name="Hiperligação Visitada" xfId="476" builtinId="9" hidden="1"/>
    <cellStyle name="Hiperligação Visitada" xfId="478" builtinId="9" hidden="1"/>
    <cellStyle name="Hiperligação Visitada" xfId="480" builtinId="9" hidden="1"/>
    <cellStyle name="Hiperligação Visitada" xfId="482" builtinId="9" hidden="1"/>
    <cellStyle name="Hiperligação Visitada" xfId="484" builtinId="9" hidden="1"/>
    <cellStyle name="Hiperligação Visitada" xfId="486" builtinId="9" hidden="1"/>
    <cellStyle name="Hiperligação Visitada" xfId="488" builtinId="9" hidden="1"/>
    <cellStyle name="Hiperligação Visitada" xfId="490" builtinId="9" hidden="1"/>
    <cellStyle name="Hiperligação Visitada" xfId="492" builtinId="9" hidden="1"/>
    <cellStyle name="Hiperligação Visitada" xfId="494" builtinId="9" hidden="1"/>
    <cellStyle name="Hiperligação Visitada" xfId="496" builtinId="9" hidden="1"/>
    <cellStyle name="Hiperligação Visitada" xfId="498" builtinId="9" hidden="1"/>
    <cellStyle name="Hiperligação Visitada" xfId="500" builtinId="9" hidden="1"/>
    <cellStyle name="Hiperligação Visitada" xfId="502" builtinId="9" hidden="1"/>
    <cellStyle name="Hiperligação Visitada" xfId="504" builtinId="9" hidden="1"/>
    <cellStyle name="Hiperligação Visitada" xfId="506" builtinId="9" hidden="1"/>
    <cellStyle name="Hiperligação Visitada" xfId="508" builtinId="9" hidden="1"/>
    <cellStyle name="Hiperligação Visitada" xfId="510" builtinId="9" hidden="1"/>
    <cellStyle name="Hiperligação Visitada" xfId="512" builtinId="9" hidden="1"/>
    <cellStyle name="Hiperligação Visitada" xfId="514" builtinId="9" hidden="1"/>
    <cellStyle name="Hiperligação Visitada" xfId="516" builtinId="9" hidden="1"/>
    <cellStyle name="Hiperligação Visitada" xfId="518" builtinId="9" hidden="1"/>
    <cellStyle name="Hiperligação Visitada" xfId="520" builtinId="9" hidden="1"/>
    <cellStyle name="Hiperligação Visitada" xfId="522" builtinId="9" hidden="1"/>
    <cellStyle name="Hiperligação Visitada" xfId="524" builtinId="9" hidden="1"/>
    <cellStyle name="Hiperligação Visitada" xfId="526" builtinId="9" hidden="1"/>
    <cellStyle name="Hiperligação Visitada" xfId="528" builtinId="9" hidden="1"/>
    <cellStyle name="Hiperligação Visitada" xfId="530" builtinId="9" hidden="1"/>
    <cellStyle name="Hiperligação Visitada" xfId="532" builtinId="9" hidden="1"/>
    <cellStyle name="Hiperligação Visitada" xfId="534" builtinId="9" hidden="1"/>
    <cellStyle name="Hiperligação Visitada" xfId="536" builtinId="9" hidden="1"/>
    <cellStyle name="Hiperligação Visitada" xfId="538" builtinId="9" hidden="1"/>
    <cellStyle name="Hiperligação Visitada" xfId="540" builtinId="9" hidden="1"/>
    <cellStyle name="Hiperligação Visitada" xfId="542" builtinId="9" hidden="1"/>
    <cellStyle name="Hiperligação Visitada" xfId="544" builtinId="9" hidden="1"/>
    <cellStyle name="Hiperligação Visitada" xfId="546" builtinId="9" hidden="1"/>
    <cellStyle name="Hiperligação Visitada" xfId="548" builtinId="9" hidden="1"/>
    <cellStyle name="Hiperligação Visitada" xfId="550" builtinId="9" hidden="1"/>
    <cellStyle name="Hiperligação Visitada" xfId="552" builtinId="9" hidden="1"/>
    <cellStyle name="Hiperligação Visitada" xfId="554" builtinId="9" hidden="1"/>
    <cellStyle name="Hiperligação Visitada" xfId="556" builtinId="9" hidden="1"/>
    <cellStyle name="Hiperligação Visitada" xfId="558" builtinId="9" hidden="1"/>
    <cellStyle name="Hiperligação Visitada" xfId="560" builtinId="9" hidden="1"/>
    <cellStyle name="Hiperligação Visitada" xfId="562" builtinId="9" hidden="1"/>
    <cellStyle name="Hiperligação Visitada" xfId="564" builtinId="9" hidden="1"/>
    <cellStyle name="Hiperligação Visitada" xfId="566" builtinId="9" hidden="1"/>
    <cellStyle name="Hiperligação Visitada" xfId="568" builtinId="9" hidden="1"/>
    <cellStyle name="Hiperligação Visitada" xfId="570" builtinId="9" hidden="1"/>
    <cellStyle name="Hiperligação Visitada" xfId="572" builtinId="9" hidden="1"/>
    <cellStyle name="Hiperligação Visitada" xfId="574" builtinId="9" hidden="1"/>
    <cellStyle name="Hiperligação Visitada" xfId="576" builtinId="9" hidden="1"/>
    <cellStyle name="Hiperligação Visitada" xfId="578" builtinId="9" hidden="1"/>
    <cellStyle name="Hiperligação Visitada" xfId="580" builtinId="9" hidden="1"/>
    <cellStyle name="Hiperligação Visitada" xfId="582" builtinId="9" hidden="1"/>
    <cellStyle name="Hiperligação Visitada" xfId="584" builtinId="9" hidden="1"/>
    <cellStyle name="Hiperligação Visitada" xfId="586" builtinId="9" hidden="1"/>
    <cellStyle name="Hiperligação Visitada" xfId="588" builtinId="9" hidden="1"/>
    <cellStyle name="Hiperligação Visitada" xfId="590" builtinId="9" hidden="1"/>
    <cellStyle name="Hiperligação Visitada" xfId="592" builtinId="9" hidden="1"/>
    <cellStyle name="Hiperligação Visitada" xfId="594" builtinId="9" hidden="1"/>
    <cellStyle name="Hiperligação Visitada" xfId="596" builtinId="9" hidden="1"/>
    <cellStyle name="Hiperligação Visitada" xfId="598" builtinId="9" hidden="1"/>
    <cellStyle name="Hiperligação Visitada" xfId="600" builtinId="9" hidden="1"/>
    <cellStyle name="Hiperligação Visitada" xfId="602" builtinId="9" hidden="1"/>
    <cellStyle name="Hiperligação Visitada" xfId="604" builtinId="9" hidden="1"/>
    <cellStyle name="Hiperligação Visitada" xfId="606" builtinId="9" hidden="1"/>
    <cellStyle name="Hiperligação Visitada" xfId="608" builtinId="9" hidden="1"/>
    <cellStyle name="Hiperligação Visitada" xfId="610" builtinId="9" hidden="1"/>
    <cellStyle name="Hiperligação Visitada" xfId="612" builtinId="9" hidden="1"/>
    <cellStyle name="Hiperligação Visitada" xfId="614" builtinId="9" hidden="1"/>
    <cellStyle name="Hiperligação Visitada" xfId="616" builtinId="9" hidden="1"/>
    <cellStyle name="Hiperligação Visitada" xfId="618" builtinId="9" hidden="1"/>
    <cellStyle name="Hiperligação Visitada" xfId="620" builtinId="9" hidden="1"/>
    <cellStyle name="Hiperligação Visitada" xfId="622" builtinId="9" hidden="1"/>
    <cellStyle name="Hiperligação Visitada" xfId="624" builtinId="9" hidden="1"/>
    <cellStyle name="Hiperligação Visitada" xfId="626" builtinId="9" hidden="1"/>
    <cellStyle name="Hiperligação Visitada" xfId="628" builtinId="9" hidden="1"/>
    <cellStyle name="Hiperligação Visitada" xfId="630" builtinId="9" hidden="1"/>
    <cellStyle name="Hiperligação Visitada" xfId="632" builtinId="9" hidden="1"/>
    <cellStyle name="Hiperligação Visitada" xfId="634" builtinId="9" hidden="1"/>
    <cellStyle name="Hiperligação Visitada" xfId="636" builtinId="9" hidden="1"/>
    <cellStyle name="Hiperligação Visitada" xfId="638" builtinId="9" hidden="1"/>
    <cellStyle name="Hiperligação Visitada" xfId="640" builtinId="9" hidden="1"/>
    <cellStyle name="Hiperligação Visitada" xfId="642" builtinId="9" hidden="1"/>
    <cellStyle name="Hiperligação Visitada" xfId="644" builtinId="9" hidden="1"/>
    <cellStyle name="Hiperligação Visitada" xfId="646" builtinId="9" hidden="1"/>
    <cellStyle name="Hiperligação Visitada" xfId="648" builtinId="9" hidden="1"/>
    <cellStyle name="Hiperligação Visitada" xfId="650" builtinId="9" hidden="1"/>
    <cellStyle name="Hiperligação Visitada" xfId="652" builtinId="9" hidden="1"/>
    <cellStyle name="Hiperligação Visitada" xfId="654" builtinId="9" hidden="1"/>
    <cellStyle name="Hiperligação Visitada" xfId="656" builtinId="9" hidden="1"/>
    <cellStyle name="Hiperligação Visitada" xfId="658" builtinId="9" hidden="1"/>
    <cellStyle name="Hiperligação Visitada" xfId="660" builtinId="9" hidden="1"/>
    <cellStyle name="Hiperligação Visitada" xfId="662" builtinId="9" hidden="1"/>
    <cellStyle name="Hiperligação Visitada" xfId="664" builtinId="9" hidden="1"/>
    <cellStyle name="Hiperligação Visitada" xfId="666" builtinId="9" hidden="1"/>
    <cellStyle name="Hiperligação Visitada" xfId="668" builtinId="9" hidden="1"/>
    <cellStyle name="Hiperligação Visitada" xfId="670" builtinId="9" hidden="1"/>
    <cellStyle name="Hiperligação Visitada" xfId="672" builtinId="9" hidden="1"/>
    <cellStyle name="Hiperligação Visitada" xfId="674" builtinId="9" hidden="1"/>
    <cellStyle name="Hiperligação Visitada" xfId="676" builtinId="9" hidden="1"/>
    <cellStyle name="Hiperligação Visitada" xfId="678" builtinId="9" hidden="1"/>
    <cellStyle name="Hiperligação Visitada" xfId="680" builtinId="9" hidden="1"/>
    <cellStyle name="Hiperligação Visitada" xfId="682" builtinId="9" hidden="1"/>
    <cellStyle name="Hiperligação Visitada" xfId="684" builtinId="9" hidden="1"/>
    <cellStyle name="Hiperligação Visitada" xfId="686" builtinId="9" hidden="1"/>
    <cellStyle name="Hiperligação Visitada" xfId="688" builtinId="9" hidden="1"/>
    <cellStyle name="Hiperligação Visitada" xfId="690" builtinId="9" hidden="1"/>
    <cellStyle name="Hiperligação Visitada" xfId="692" builtinId="9" hidden="1"/>
    <cellStyle name="Hiperligação Visitada" xfId="694" builtinId="9" hidden="1"/>
    <cellStyle name="Hiperligação Visitada" xfId="696" builtinId="9" hidden="1"/>
    <cellStyle name="Hiperligação Visitada" xfId="698" builtinId="9" hidden="1"/>
    <cellStyle name="Hiperligação Visitada" xfId="700" builtinId="9" hidden="1"/>
    <cellStyle name="Hiperligação Visitada" xfId="702" builtinId="9" hidden="1"/>
    <cellStyle name="Hiperligação Visitada" xfId="704" builtinId="9" hidden="1"/>
    <cellStyle name="Hiperligação Visitada" xfId="706" builtinId="9" hidden="1"/>
    <cellStyle name="Hiperligação Visitada" xfId="708" builtinId="9" hidden="1"/>
    <cellStyle name="Hiperligação Visitada" xfId="710" builtinId="9" hidden="1"/>
    <cellStyle name="Moeda 2" xfId="4" xr:uid="{00000000-0005-0000-0000-0000BB020000}"/>
    <cellStyle name="Normal" xfId="0" builtinId="0"/>
    <cellStyle name="Normal 2" xfId="5" xr:uid="{00000000-0005-0000-0000-0000BD020000}"/>
    <cellStyle name="Normal 2 2" xfId="6" xr:uid="{00000000-0005-0000-0000-0000BE020000}"/>
    <cellStyle name="Normal 2 2 2" xfId="7" xr:uid="{00000000-0005-0000-0000-0000BF020000}"/>
    <cellStyle name="Normal 2 3" xfId="8" xr:uid="{00000000-0005-0000-0000-0000C0020000}"/>
    <cellStyle name="Normal 3" xfId="9" xr:uid="{00000000-0005-0000-0000-0000C1020000}"/>
    <cellStyle name="Normal 3 2" xfId="10" xr:uid="{00000000-0005-0000-0000-0000C2020000}"/>
    <cellStyle name="Normal 4" xfId="11" xr:uid="{00000000-0005-0000-0000-0000C3020000}"/>
    <cellStyle name="Normal 4 2" xfId="12" xr:uid="{00000000-0005-0000-0000-0000C4020000}"/>
    <cellStyle name="Normal 5" xfId="13" xr:uid="{00000000-0005-0000-0000-0000C5020000}"/>
    <cellStyle name="Normal 6" xfId="20" xr:uid="{00000000-0005-0000-0000-0000C6020000}"/>
  </cellStyles>
  <dxfs count="28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73696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R1752"/>
  <sheetViews>
    <sheetView tabSelected="1" workbookViewId="0">
      <selection activeCell="B6" sqref="B6"/>
    </sheetView>
  </sheetViews>
  <sheetFormatPr baseColWidth="10" defaultColWidth="10.83203125" defaultRowHeight="16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13" customWidth="1"/>
    <col min="10" max="10" width="7.83203125" style="113" customWidth="1"/>
    <col min="11" max="11" width="6.83203125" style="21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9" width="10.83203125" style="21" customWidth="1"/>
    <col min="20" max="16384" width="10.83203125" style="21"/>
  </cols>
  <sheetData>
    <row r="1" spans="1:18" ht="30" customHeight="1">
      <c r="A1" s="116"/>
      <c r="B1" s="116"/>
      <c r="C1" s="132" t="s">
        <v>381</v>
      </c>
      <c r="D1" s="132"/>
      <c r="E1" s="132"/>
      <c r="F1" s="132"/>
      <c r="G1" s="132"/>
      <c r="H1" s="7" t="s">
        <v>4</v>
      </c>
      <c r="I1" s="106"/>
      <c r="J1" s="106"/>
      <c r="K1" s="42"/>
      <c r="L1" s="20"/>
      <c r="M1" s="20"/>
    </row>
    <row r="2" spans="1:18" ht="12" customHeight="1">
      <c r="A2" s="117"/>
      <c r="B2" s="117"/>
      <c r="C2" s="127" t="s">
        <v>1717</v>
      </c>
      <c r="D2" s="126"/>
      <c r="E2" s="126"/>
      <c r="F2" s="126"/>
      <c r="G2" s="126"/>
      <c r="H2" s="47" t="s">
        <v>126</v>
      </c>
      <c r="I2" s="106"/>
      <c r="J2" s="106"/>
      <c r="K2" s="42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121"/>
      <c r="H3" s="48"/>
      <c r="I3" s="106"/>
      <c r="J3" s="106"/>
      <c r="K3" s="42"/>
      <c r="L3" s="20"/>
      <c r="M3" s="20"/>
    </row>
    <row r="4" spans="1:18" ht="18" customHeight="1">
      <c r="A4" s="46" t="s">
        <v>11</v>
      </c>
      <c r="B4" s="131"/>
      <c r="C4" s="131"/>
      <c r="D4" s="131"/>
      <c r="E4" s="131"/>
      <c r="F4" s="46" t="s">
        <v>5</v>
      </c>
      <c r="G4" s="10"/>
      <c r="H4" s="49" t="s">
        <v>89</v>
      </c>
      <c r="I4" s="106"/>
      <c r="J4" s="106"/>
      <c r="K4" s="42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0"/>
      <c r="I5" s="106"/>
      <c r="J5" s="106"/>
      <c r="K5" s="42"/>
      <c r="L5" s="20"/>
      <c r="M5" s="20"/>
    </row>
    <row r="6" spans="1:18" ht="20" customHeight="1">
      <c r="A6" s="46" t="s">
        <v>6</v>
      </c>
      <c r="B6" s="59"/>
      <c r="C6" s="130" t="str">
        <f>IF(B6="","",VLOOKUP($B6,$Q$8:$R$64,2,FALSE))</f>
        <v/>
      </c>
      <c r="D6" s="130"/>
      <c r="E6" s="130"/>
      <c r="F6" s="130"/>
      <c r="G6" s="130"/>
      <c r="H6" s="49" t="s">
        <v>14</v>
      </c>
      <c r="I6" s="106"/>
      <c r="J6" s="106"/>
      <c r="K6" s="42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07"/>
      <c r="J7" s="107"/>
      <c r="K7" s="20"/>
      <c r="L7" s="20"/>
      <c r="M7" s="20"/>
    </row>
    <row r="8" spans="1:18" ht="18" customHeight="1">
      <c r="A8" s="11" t="s">
        <v>0</v>
      </c>
      <c r="B8" s="76" t="s">
        <v>7</v>
      </c>
      <c r="C8" s="13" t="s">
        <v>8</v>
      </c>
      <c r="D8" s="12" t="s">
        <v>127</v>
      </c>
      <c r="E8" s="12" t="s">
        <v>2</v>
      </c>
      <c r="F8" s="14" t="s">
        <v>12</v>
      </c>
      <c r="G8" s="14" t="s">
        <v>13</v>
      </c>
      <c r="H8" s="20"/>
      <c r="I8" s="108" t="str">
        <f>IF($B$6="","",$B$6)</f>
        <v/>
      </c>
      <c r="J8" s="109" t="str">
        <f>IF(I8="","","Escalão")</f>
        <v/>
      </c>
      <c r="K8" s="44" t="str">
        <f>IF(I8="","","Dorsal")</f>
        <v/>
      </c>
      <c r="L8" s="20"/>
      <c r="M8" s="20"/>
      <c r="N8" s="24" t="s">
        <v>16</v>
      </c>
      <c r="P8" s="31" t="s">
        <v>380</v>
      </c>
      <c r="Q8" s="31" t="s">
        <v>88</v>
      </c>
      <c r="R8" s="30" t="s">
        <v>10</v>
      </c>
    </row>
    <row r="9" spans="1:18" ht="6" customHeight="1">
      <c r="A9" s="26"/>
      <c r="B9" s="26"/>
      <c r="C9" s="26"/>
      <c r="D9" s="26"/>
      <c r="E9" s="26"/>
      <c r="F9" s="26"/>
      <c r="G9" s="26"/>
      <c r="H9" s="15"/>
      <c r="I9" s="110"/>
      <c r="J9" s="110"/>
      <c r="K9" s="15"/>
      <c r="L9" s="15"/>
      <c r="M9" s="15"/>
      <c r="N9" s="25"/>
      <c r="P9" s="75"/>
      <c r="Q9" s="23"/>
      <c r="R9" s="23"/>
    </row>
    <row r="10" spans="1:18" ht="20" customHeight="1">
      <c r="A10" s="54" t="str">
        <f>IF($B10="","",VLOOKUP($B10,Atletas!$J:$P,2,FALSE))</f>
        <v/>
      </c>
      <c r="B10" s="36"/>
      <c r="C10" s="27" t="str">
        <f>IF($B10="","",VLOOKUP($B10,Atletas!$J:$P,4,FALSE))</f>
        <v/>
      </c>
      <c r="D10" s="51" t="str">
        <f>IF($B10="","",VLOOKUP($B10,Atletas!$J:$P,5,FALSE))</f>
        <v/>
      </c>
      <c r="E10" s="51" t="str">
        <f>IF($B10="","",VLOOKUP($B10,Atletas!$J:$P,6,FALSE))</f>
        <v/>
      </c>
      <c r="F10" s="122"/>
      <c r="G10" s="122"/>
      <c r="H10" s="15" t="str">
        <f>IF(A10="","",IF(VLOOKUP($A10,Atletas!$A:$H,4,FALSE)&lt;&gt;$B$6,VLOOKUP($A10,Atletas!$A:$H,4,FALSE),""))</f>
        <v/>
      </c>
      <c r="I10" s="115" t="str">
        <f>IFERROR(HLOOKUP($I$8,Tab_Din_nome!$A$2:$SK$333,4,0),"")</f>
        <v/>
      </c>
      <c r="J10" s="111" t="str">
        <f>IFERROR(VLOOKUP($I10,Atletas!$J:$P,5,FALSE),"")</f>
        <v/>
      </c>
      <c r="K10" s="58" t="str">
        <f>IFERROR(VLOOKUP($I10,Atletas!$J:$P,2,FALSE),"")</f>
        <v/>
      </c>
      <c r="L10" s="15"/>
      <c r="M10" s="15"/>
      <c r="N10" s="25" t="s">
        <v>32</v>
      </c>
      <c r="P10" s="75" t="s">
        <v>322</v>
      </c>
      <c r="Q10" s="23" t="s">
        <v>1646</v>
      </c>
      <c r="R10" s="23" t="s">
        <v>1655</v>
      </c>
    </row>
    <row r="11" spans="1:18" ht="20" customHeight="1">
      <c r="A11" s="54" t="str">
        <f>IF($B11="","",VLOOKUP($B11,Atletas!$J:$P,2,FALSE))</f>
        <v/>
      </c>
      <c r="B11" s="36"/>
      <c r="C11" s="27" t="str">
        <f>IF($B11="","",VLOOKUP($B11,Atletas!$J:$P,4,FALSE))</f>
        <v/>
      </c>
      <c r="D11" s="52" t="str">
        <f>IF($B11="","",VLOOKUP($B11,Atletas!$J:$P,5,FALSE))</f>
        <v/>
      </c>
      <c r="E11" s="51" t="str">
        <f>IF($B11="","",VLOOKUP($B11,Atletas!$J:$P,6,FALSE))</f>
        <v/>
      </c>
      <c r="F11" s="123"/>
      <c r="G11" s="123"/>
      <c r="H11" s="15" t="str">
        <f>IF(A11="","",IF(VLOOKUP($A11,Atletas!$A:$H,4,FALSE)&lt;&gt;$B$6,VLOOKUP($A11,Atletas!$A:$H,4,FALSE),""))</f>
        <v/>
      </c>
      <c r="I11" s="115" t="str">
        <f>IFERROR(HLOOKUP($I$8,Tab_Din_nome!$A$2:$SK$333,5,0),"")</f>
        <v/>
      </c>
      <c r="J11" s="111" t="str">
        <f>IFERROR(VLOOKUP($I11,Atletas!$J:$P,5,FALSE),"")</f>
        <v/>
      </c>
      <c r="K11" s="58" t="str">
        <f>IFERROR(VLOOKUP($I11,Atletas!$J:$P,2,FALSE),"")</f>
        <v/>
      </c>
      <c r="L11" s="15"/>
      <c r="M11" s="15"/>
      <c r="N11" s="25" t="s">
        <v>17</v>
      </c>
      <c r="P11" s="75" t="s">
        <v>323</v>
      </c>
      <c r="Q11" s="23" t="s">
        <v>954</v>
      </c>
      <c r="R11" s="23" t="s">
        <v>1656</v>
      </c>
    </row>
    <row r="12" spans="1:18" ht="20" customHeight="1">
      <c r="A12" s="54" t="str">
        <f>IF($B12="","",VLOOKUP($B12,Atletas!$J:$P,2,FALSE))</f>
        <v/>
      </c>
      <c r="B12" s="36"/>
      <c r="C12" s="27" t="str">
        <f>IF($B12="","",VLOOKUP($B12,Atletas!$J:$P,4,FALSE))</f>
        <v/>
      </c>
      <c r="D12" s="51" t="str">
        <f>IF($B12="","",VLOOKUP($B12,Atletas!$J:$P,5,FALSE))</f>
        <v/>
      </c>
      <c r="E12" s="51" t="str">
        <f>IF($B12="","",VLOOKUP($B12,Atletas!$J:$P,6,FALSE))</f>
        <v/>
      </c>
      <c r="F12" s="123"/>
      <c r="G12" s="123"/>
      <c r="H12" s="15" t="str">
        <f>IF(A12="","",IF(VLOOKUP($A12,Atletas!$A:$H,4,FALSE)&lt;&gt;$B$6,VLOOKUP($A12,Atletas!$A:$H,4,FALSE),""))</f>
        <v/>
      </c>
      <c r="I12" s="115" t="str">
        <f>IFERROR(HLOOKUP($I$8,Tab_Din_nome!$A$2:$SK$333,6,0),"")</f>
        <v/>
      </c>
      <c r="J12" s="111" t="str">
        <f>IFERROR(VLOOKUP($I12,Atletas!$J:$P,5,FALSE),"")</f>
        <v/>
      </c>
      <c r="K12" s="58" t="str">
        <f>IFERROR(VLOOKUP($I12,Atletas!$J:$P,2,FALSE),"")</f>
        <v/>
      </c>
      <c r="L12" s="15"/>
      <c r="M12" s="15"/>
      <c r="N12" s="25" t="s">
        <v>18</v>
      </c>
      <c r="P12" s="75" t="s">
        <v>324</v>
      </c>
      <c r="Q12" s="23" t="s">
        <v>796</v>
      </c>
      <c r="R12" s="23" t="s">
        <v>1657</v>
      </c>
    </row>
    <row r="13" spans="1:18" ht="20" customHeight="1">
      <c r="A13" s="54" t="str">
        <f>IF($B13="","",VLOOKUP($B13,Atletas!$J:$P,2,FALSE))</f>
        <v/>
      </c>
      <c r="B13" s="36"/>
      <c r="C13" s="27" t="str">
        <f>IF($B13="","",VLOOKUP($B13,Atletas!$J:$P,4,FALSE))</f>
        <v/>
      </c>
      <c r="D13" s="51" t="str">
        <f>IF($B13="","",VLOOKUP($B13,Atletas!$J:$P,5,FALSE))</f>
        <v/>
      </c>
      <c r="E13" s="51" t="str">
        <f>IF($B13="","",VLOOKUP($B13,Atletas!$J:$P,6,FALSE))</f>
        <v/>
      </c>
      <c r="F13" s="123"/>
      <c r="G13" s="123"/>
      <c r="H13" s="15" t="str">
        <f>IF(A13="","",IF(VLOOKUP($A13,Atletas!$A:$H,4,FALSE)&lt;&gt;$B$6,VLOOKUP($A13,Atletas!$A:$H,4,FALSE),""))</f>
        <v/>
      </c>
      <c r="I13" s="115" t="str">
        <f>IFERROR(HLOOKUP($I$8,Tab_Din_nome!$A$2:$SK$333,7,0),"")</f>
        <v/>
      </c>
      <c r="J13" s="111" t="str">
        <f>IFERROR(VLOOKUP($I13,Atletas!$J:$P,5,FALSE),"")</f>
        <v/>
      </c>
      <c r="K13" s="58" t="str">
        <f>IFERROR(VLOOKUP($I13,Atletas!$J:$P,2,FALSE),"")</f>
        <v/>
      </c>
      <c r="L13" s="15"/>
      <c r="M13" s="15"/>
      <c r="N13" s="25" t="s">
        <v>19</v>
      </c>
      <c r="P13" s="75" t="s">
        <v>325</v>
      </c>
      <c r="Q13" s="23" t="s">
        <v>1236</v>
      </c>
      <c r="R13" s="23" t="s">
        <v>1658</v>
      </c>
    </row>
    <row r="14" spans="1:18" ht="20" customHeight="1">
      <c r="A14" s="54" t="str">
        <f>IF($B14="","",VLOOKUP($B14,Atletas!$J:$P,2,FALSE))</f>
        <v/>
      </c>
      <c r="B14" s="36"/>
      <c r="C14" s="27" t="str">
        <f>IF($B14="","",VLOOKUP($B14,Atletas!$J:$P,4,FALSE))</f>
        <v/>
      </c>
      <c r="D14" s="51" t="str">
        <f>IF($B14="","",VLOOKUP($B14,Atletas!$J:$P,5,FALSE))</f>
        <v/>
      </c>
      <c r="E14" s="51" t="str">
        <f>IF($B14="","",VLOOKUP($B14,Atletas!$J:$P,6,FALSE))</f>
        <v/>
      </c>
      <c r="F14" s="123"/>
      <c r="G14" s="123"/>
      <c r="H14" s="15" t="str">
        <f>IF(A14="","",IF(VLOOKUP($A14,Atletas!$A:$H,4,FALSE)&lt;&gt;$B$6,VLOOKUP($A14,Atletas!$A:$H,4,FALSE),""))</f>
        <v/>
      </c>
      <c r="I14" s="115" t="str">
        <f>IFERROR(HLOOKUP($I$8,Tab_Din_nome!$A$2:$SK$333,8,0),"")</f>
        <v/>
      </c>
      <c r="J14" s="111" t="str">
        <f>IFERROR(VLOOKUP($I14,Atletas!$J:$P,5,FALSE),"")</f>
        <v/>
      </c>
      <c r="K14" s="58" t="str">
        <f>IFERROR(VLOOKUP($I14,Atletas!$J:$P,2,FALSE),"")</f>
        <v/>
      </c>
      <c r="L14" s="15"/>
      <c r="M14" s="15"/>
      <c r="N14" s="25" t="s">
        <v>20</v>
      </c>
      <c r="P14" s="75" t="s">
        <v>326</v>
      </c>
      <c r="Q14" s="23" t="s">
        <v>1042</v>
      </c>
      <c r="R14" s="23" t="s">
        <v>1659</v>
      </c>
    </row>
    <row r="15" spans="1:18" ht="20" customHeight="1">
      <c r="A15" s="54" t="str">
        <f>IF($B15="","",VLOOKUP($B15,Atletas!$J:$P,2,FALSE))</f>
        <v/>
      </c>
      <c r="B15" s="36"/>
      <c r="C15" s="27" t="str">
        <f>IF($B15="","",VLOOKUP($B15,Atletas!$J:$P,4,FALSE))</f>
        <v/>
      </c>
      <c r="D15" s="51" t="str">
        <f>IF($B15="","",VLOOKUP($B15,Atletas!$J:$P,5,FALSE))</f>
        <v/>
      </c>
      <c r="E15" s="51" t="str">
        <f>IF($B15="","",VLOOKUP($B15,Atletas!$J:$P,6,FALSE))</f>
        <v/>
      </c>
      <c r="F15" s="123"/>
      <c r="G15" s="123"/>
      <c r="H15" s="15" t="str">
        <f>IF(A15="","",IF(VLOOKUP($A15,Atletas!$A:$H,4,FALSE)&lt;&gt;$B$6,VLOOKUP($A15,Atletas!$A:$H,4,FALSE),""))</f>
        <v/>
      </c>
      <c r="I15" s="115" t="str">
        <f>IFERROR(HLOOKUP($I$8,Tab_Din_nome!$A$2:$SK$333,9,0),"")</f>
        <v/>
      </c>
      <c r="J15" s="111" t="str">
        <f>IFERROR(VLOOKUP($I15,Atletas!$J:$P,5,FALSE),"")</f>
        <v/>
      </c>
      <c r="K15" s="58" t="str">
        <f>IFERROR(VLOOKUP($I15,Atletas!$J:$P,2,FALSE),"")</f>
        <v/>
      </c>
      <c r="L15" s="15"/>
      <c r="M15" s="15"/>
      <c r="N15" s="25" t="s">
        <v>21</v>
      </c>
      <c r="P15" s="75" t="s">
        <v>327</v>
      </c>
      <c r="Q15" s="23" t="s">
        <v>159</v>
      </c>
      <c r="R15" s="23" t="s">
        <v>1660</v>
      </c>
    </row>
    <row r="16" spans="1:18" ht="20" customHeight="1">
      <c r="A16" s="54" t="str">
        <f>IF($B16="","",VLOOKUP($B16,Atletas!$J:$P,2,FALSE))</f>
        <v/>
      </c>
      <c r="B16" s="36"/>
      <c r="C16" s="27" t="str">
        <f>IF($B16="","",VLOOKUP($B16,Atletas!$J:$P,4,FALSE))</f>
        <v/>
      </c>
      <c r="D16" s="51" t="str">
        <f>IF($B16="","",VLOOKUP($B16,Atletas!$J:$P,5,FALSE))</f>
        <v/>
      </c>
      <c r="E16" s="51" t="str">
        <f>IF($B16="","",VLOOKUP($B16,Atletas!$J:$P,6,FALSE))</f>
        <v/>
      </c>
      <c r="F16" s="123"/>
      <c r="G16" s="123"/>
      <c r="H16" s="15" t="str">
        <f>IF(A16="","",IF(VLOOKUP($A16,Atletas!$A:$H,4,FALSE)&lt;&gt;$B$6,VLOOKUP($A16,Atletas!$A:$H,4,FALSE),""))</f>
        <v/>
      </c>
      <c r="I16" s="115" t="str">
        <f>IFERROR(HLOOKUP($I$8,Tab_Din_nome!$A$2:$SK$333,10,0),"")</f>
        <v/>
      </c>
      <c r="J16" s="111" t="str">
        <f>IFERROR(VLOOKUP($I16,Atletas!$J:$P,5,FALSE),"")</f>
        <v/>
      </c>
      <c r="K16" s="58" t="str">
        <f>IFERROR(VLOOKUP($I16,Atletas!$J:$P,2,FALSE),"")</f>
        <v/>
      </c>
      <c r="L16" s="15"/>
      <c r="M16" s="15"/>
      <c r="N16" s="25" t="s">
        <v>22</v>
      </c>
      <c r="P16" s="75" t="s">
        <v>328</v>
      </c>
      <c r="Q16" s="23" t="s">
        <v>999</v>
      </c>
      <c r="R16" s="23" t="s">
        <v>1661</v>
      </c>
    </row>
    <row r="17" spans="1:18" ht="20" customHeight="1">
      <c r="A17" s="54" t="str">
        <f>IF($B17="","",VLOOKUP($B17,Atletas!$J:$P,2,FALSE))</f>
        <v/>
      </c>
      <c r="B17" s="36"/>
      <c r="C17" s="27" t="str">
        <f>IF($B17="","",VLOOKUP($B17,Atletas!$J:$P,4,FALSE))</f>
        <v/>
      </c>
      <c r="D17" s="51" t="str">
        <f>IF($B17="","",VLOOKUP($B17,Atletas!$J:$P,5,FALSE))</f>
        <v/>
      </c>
      <c r="E17" s="51" t="str">
        <f>IF($B17="","",VLOOKUP($B17,Atletas!$J:$P,6,FALSE))</f>
        <v/>
      </c>
      <c r="F17" s="123"/>
      <c r="G17" s="123"/>
      <c r="H17" s="15" t="str">
        <f>IF(A17="","",IF(VLOOKUP($A17,Atletas!$A:$H,4,FALSE)&lt;&gt;$B$6,VLOOKUP($A17,Atletas!$A:$H,4,FALSE),""))</f>
        <v/>
      </c>
      <c r="I17" s="115" t="str">
        <f>IFERROR(HLOOKUP($I$8,Tab_Din_nome!$A$2:$SK$333,11,0),"")</f>
        <v/>
      </c>
      <c r="J17" s="111" t="str">
        <f>IFERROR(VLOOKUP($I17,Atletas!$J:$P,5,FALSE),"")</f>
        <v/>
      </c>
      <c r="K17" s="58" t="str">
        <f>IFERROR(VLOOKUP($I17,Atletas!$J:$P,2,FALSE),"")</f>
        <v/>
      </c>
      <c r="L17" s="15"/>
      <c r="M17" s="15"/>
      <c r="N17" s="25" t="s">
        <v>23</v>
      </c>
      <c r="P17" s="75" t="s">
        <v>329</v>
      </c>
      <c r="Q17" s="23" t="s">
        <v>97</v>
      </c>
      <c r="R17" s="23" t="s">
        <v>1662</v>
      </c>
    </row>
    <row r="18" spans="1:18" ht="20" customHeight="1">
      <c r="A18" s="54" t="str">
        <f>IF($B18="","",VLOOKUP($B18,Atletas!$J:$P,2,FALSE))</f>
        <v/>
      </c>
      <c r="B18" s="36"/>
      <c r="C18" s="27" t="str">
        <f>IF($B18="","",VLOOKUP($B18,Atletas!$J:$P,4,FALSE))</f>
        <v/>
      </c>
      <c r="D18" s="51" t="str">
        <f>IF($B18="","",VLOOKUP($B18,Atletas!$J:$P,5,FALSE))</f>
        <v/>
      </c>
      <c r="E18" s="51" t="str">
        <f>IF($B18="","",VLOOKUP($B18,Atletas!$J:$P,6,FALSE))</f>
        <v/>
      </c>
      <c r="F18" s="123"/>
      <c r="G18" s="123"/>
      <c r="H18" s="15" t="str">
        <f>IF(A18="","",IF(VLOOKUP($A18,Atletas!$A:$H,4,FALSE)&lt;&gt;$B$6,VLOOKUP($A18,Atletas!$A:$H,4,FALSE),""))</f>
        <v/>
      </c>
      <c r="I18" s="115" t="str">
        <f>IFERROR(HLOOKUP($I$8,Tab_Din_nome!$A$2:$SK$333,12,0),"")</f>
        <v/>
      </c>
      <c r="J18" s="111" t="str">
        <f>IFERROR(VLOOKUP($I18,Atletas!$J:$P,5,FALSE),"")</f>
        <v/>
      </c>
      <c r="K18" s="58" t="str">
        <f>IFERROR(VLOOKUP($I18,Atletas!$J:$P,2,FALSE),"")</f>
        <v/>
      </c>
      <c r="L18" s="15"/>
      <c r="M18" s="15"/>
      <c r="N18" s="25" t="s">
        <v>24</v>
      </c>
      <c r="P18" s="75" t="s">
        <v>330</v>
      </c>
      <c r="Q18" s="23" t="s">
        <v>123</v>
      </c>
      <c r="R18" s="23" t="s">
        <v>1663</v>
      </c>
    </row>
    <row r="19" spans="1:18" ht="20" customHeight="1">
      <c r="A19" s="54" t="str">
        <f>IF($B19="","",VLOOKUP($B19,Atletas!$J:$P,2,FALSE))</f>
        <v/>
      </c>
      <c r="B19" s="36"/>
      <c r="C19" s="27" t="str">
        <f>IF($B19="","",VLOOKUP($B19,Atletas!$J:$P,4,FALSE))</f>
        <v/>
      </c>
      <c r="D19" s="51" t="str">
        <f>IF($B19="","",VLOOKUP($B19,Atletas!$J:$P,5,FALSE))</f>
        <v/>
      </c>
      <c r="E19" s="51" t="str">
        <f>IF($B19="","",VLOOKUP($B19,Atletas!$J:$P,6,FALSE))</f>
        <v/>
      </c>
      <c r="F19" s="123"/>
      <c r="G19" s="123"/>
      <c r="H19" s="15" t="str">
        <f>IF(A19="","",IF(VLOOKUP($A19,Atletas!$A:$H,4,FALSE)&lt;&gt;$B$6,VLOOKUP($A19,Atletas!$A:$H,4,FALSE),""))</f>
        <v/>
      </c>
      <c r="I19" s="115" t="str">
        <f>IFERROR(HLOOKUP($I$8,Tab_Din_nome!$A$2:$SK$333,13,0),"")</f>
        <v/>
      </c>
      <c r="J19" s="111" t="str">
        <f>IFERROR(VLOOKUP($I19,Atletas!$J:$P,5,FALSE),"")</f>
        <v/>
      </c>
      <c r="K19" s="58" t="str">
        <f>IFERROR(VLOOKUP($I19,Atletas!$J:$P,2,FALSE),"")</f>
        <v/>
      </c>
      <c r="L19" s="15"/>
      <c r="M19" s="15"/>
      <c r="N19" s="25" t="s">
        <v>25</v>
      </c>
      <c r="P19" s="75" t="s">
        <v>331</v>
      </c>
      <c r="Q19" s="23" t="s">
        <v>509</v>
      </c>
      <c r="R19" s="23" t="s">
        <v>1664</v>
      </c>
    </row>
    <row r="20" spans="1:18" ht="20" customHeight="1">
      <c r="A20" s="54" t="str">
        <f>IF($B20="","",VLOOKUP($B20,Atletas!$J:$P,2,FALSE))</f>
        <v/>
      </c>
      <c r="B20" s="36"/>
      <c r="C20" s="27" t="str">
        <f>IF($B20="","",VLOOKUP($B20,Atletas!$J:$P,4,FALSE))</f>
        <v/>
      </c>
      <c r="D20" s="51" t="str">
        <f>IF($B20="","",VLOOKUP($B20,Atletas!$J:$P,5,FALSE))</f>
        <v/>
      </c>
      <c r="E20" s="51" t="str">
        <f>IF($B20="","",VLOOKUP($B20,Atletas!$J:$P,6,FALSE))</f>
        <v/>
      </c>
      <c r="F20" s="123"/>
      <c r="G20" s="123"/>
      <c r="H20" s="15" t="str">
        <f>IF(A20="","",IF(VLOOKUP($A20,Atletas!$A:$H,4,FALSE)&lt;&gt;$B$6,VLOOKUP($A20,Atletas!$A:$H,4,FALSE),""))</f>
        <v/>
      </c>
      <c r="I20" s="115" t="str">
        <f>IFERROR(HLOOKUP($I$8,Tab_Din_nome!$A$2:$SK$333,14,0),"")</f>
        <v/>
      </c>
      <c r="J20" s="111" t="str">
        <f>IFERROR(VLOOKUP($I20,Atletas!$J:$P,5,FALSE),"")</f>
        <v/>
      </c>
      <c r="K20" s="58" t="str">
        <f>IFERROR(VLOOKUP($I20,Atletas!$J:$P,2,FALSE),"")</f>
        <v/>
      </c>
      <c r="L20" s="15"/>
      <c r="M20" s="15"/>
      <c r="N20" s="25" t="s">
        <v>26</v>
      </c>
      <c r="P20" s="75" t="s">
        <v>332</v>
      </c>
      <c r="Q20" s="23" t="s">
        <v>152</v>
      </c>
      <c r="R20" s="23" t="s">
        <v>1665</v>
      </c>
    </row>
    <row r="21" spans="1:18" ht="20" customHeight="1">
      <c r="A21" s="54" t="str">
        <f>IF($B21="","",VLOOKUP($B21,Atletas!$J:$P,2,FALSE))</f>
        <v/>
      </c>
      <c r="B21" s="36"/>
      <c r="C21" s="27" t="str">
        <f>IF($B21="","",VLOOKUP($B21,Atletas!$J:$P,4,FALSE))</f>
        <v/>
      </c>
      <c r="D21" s="51" t="str">
        <f>IF($B21="","",VLOOKUP($B21,Atletas!$J:$P,5,FALSE))</f>
        <v/>
      </c>
      <c r="E21" s="51" t="str">
        <f>IF($B21="","",VLOOKUP($B21,Atletas!$J:$P,6,FALSE))</f>
        <v/>
      </c>
      <c r="F21" s="123"/>
      <c r="G21" s="123"/>
      <c r="H21" s="15" t="str">
        <f>IF(A21="","",IF(VLOOKUP($A21,Atletas!$A:$H,4,FALSE)&lt;&gt;$B$6,VLOOKUP($A21,Atletas!$A:$H,4,FALSE),""))</f>
        <v/>
      </c>
      <c r="I21" s="115" t="str">
        <f>IFERROR(HLOOKUP($I$8,Tab_Din_nome!$A$2:$SK$333,15,0),"")</f>
        <v/>
      </c>
      <c r="J21" s="111" t="str">
        <f>IFERROR(VLOOKUP($I21,Atletas!$J:$P,5,FALSE),"")</f>
        <v/>
      </c>
      <c r="K21" s="58" t="str">
        <f>IFERROR(VLOOKUP($I21,Atletas!$J:$P,2,FALSE),"")</f>
        <v/>
      </c>
      <c r="L21" s="15"/>
      <c r="M21" s="15"/>
      <c r="N21" s="25" t="s">
        <v>27</v>
      </c>
      <c r="P21" s="75" t="s">
        <v>333</v>
      </c>
      <c r="Q21" s="23" t="s">
        <v>165</v>
      </c>
      <c r="R21" s="23" t="s">
        <v>1666</v>
      </c>
    </row>
    <row r="22" spans="1:18" ht="20" customHeight="1">
      <c r="A22" s="54" t="str">
        <f>IF($B22="","",VLOOKUP($B22,Atletas!$J:$P,2,FALSE))</f>
        <v/>
      </c>
      <c r="B22" s="36"/>
      <c r="C22" s="27" t="str">
        <f>IF($B22="","",VLOOKUP($B22,Atletas!$J:$P,4,FALSE))</f>
        <v/>
      </c>
      <c r="D22" s="51" t="str">
        <f>IF($B22="","",VLOOKUP($B22,Atletas!$J:$P,5,FALSE))</f>
        <v/>
      </c>
      <c r="E22" s="51" t="str">
        <f>IF($B22="","",VLOOKUP($B22,Atletas!$J:$P,6,FALSE))</f>
        <v/>
      </c>
      <c r="F22" s="123"/>
      <c r="G22" s="123"/>
      <c r="H22" s="15" t="str">
        <f>IF(A22="","",IF(VLOOKUP($A22,Atletas!$A:$H,4,FALSE)&lt;&gt;$B$6,VLOOKUP($A22,Atletas!$A:$H,4,FALSE),""))</f>
        <v/>
      </c>
      <c r="I22" s="115" t="str">
        <f>IFERROR(HLOOKUP($I$8,Tab_Din_nome!$A$2:$SK$333,16,0),"")</f>
        <v/>
      </c>
      <c r="J22" s="111" t="str">
        <f>IFERROR(VLOOKUP($I22,Atletas!$J:$P,5,FALSE),"")</f>
        <v/>
      </c>
      <c r="K22" s="58" t="str">
        <f>IFERROR(VLOOKUP($I22,Atletas!$J:$P,2,FALSE),"")</f>
        <v/>
      </c>
      <c r="L22" s="15"/>
      <c r="M22" s="15"/>
      <c r="N22" s="25" t="s">
        <v>28</v>
      </c>
      <c r="P22" s="75" t="s">
        <v>334</v>
      </c>
      <c r="Q22" s="23" t="s">
        <v>957</v>
      </c>
      <c r="R22" s="23" t="s">
        <v>1667</v>
      </c>
    </row>
    <row r="23" spans="1:18" ht="20" customHeight="1">
      <c r="A23" s="54" t="str">
        <f>IF($B23="","",VLOOKUP($B23,Atletas!$J:$P,2,FALSE))</f>
        <v/>
      </c>
      <c r="B23" s="36"/>
      <c r="C23" s="27" t="str">
        <f>IF($B23="","",VLOOKUP($B23,Atletas!$J:$P,4,FALSE))</f>
        <v/>
      </c>
      <c r="D23" s="51" t="str">
        <f>IF($B23="","",VLOOKUP($B23,Atletas!$J:$P,5,FALSE))</f>
        <v/>
      </c>
      <c r="E23" s="51" t="str">
        <f>IF($B23="","",VLOOKUP($B23,Atletas!$J:$P,6,FALSE))</f>
        <v/>
      </c>
      <c r="F23" s="123"/>
      <c r="G23" s="123"/>
      <c r="H23" s="15" t="str">
        <f>IF(A23="","",IF(VLOOKUP($A23,Atletas!$A:$H,4,FALSE)&lt;&gt;$B$6,VLOOKUP($A23,Atletas!$A:$H,4,FALSE),""))</f>
        <v/>
      </c>
      <c r="I23" s="115" t="str">
        <f>IFERROR(HLOOKUP($I$8,Tab_Din_nome!$A$2:$SK$333,17,0),"")</f>
        <v/>
      </c>
      <c r="J23" s="111" t="str">
        <f>IFERROR(VLOOKUP($I23,Atletas!$J:$P,5,FALSE),"")</f>
        <v/>
      </c>
      <c r="K23" s="58" t="str">
        <f>IFERROR(VLOOKUP($I23,Atletas!$J:$P,2,FALSE),"")</f>
        <v/>
      </c>
      <c r="L23" s="15"/>
      <c r="M23" s="15"/>
      <c r="N23" s="25" t="s">
        <v>562</v>
      </c>
      <c r="P23" s="75" t="s">
        <v>335</v>
      </c>
      <c r="Q23" s="23" t="s">
        <v>143</v>
      </c>
      <c r="R23" s="23" t="s">
        <v>1668</v>
      </c>
    </row>
    <row r="24" spans="1:18" ht="20" customHeight="1">
      <c r="A24" s="54" t="str">
        <f>IF($B24="","",VLOOKUP($B24,Atletas!$J:$P,2,FALSE))</f>
        <v/>
      </c>
      <c r="B24" s="36"/>
      <c r="C24" s="27" t="str">
        <f>IF($B24="","",VLOOKUP($B24,Atletas!$J:$P,4,FALSE))</f>
        <v/>
      </c>
      <c r="D24" s="51" t="str">
        <f>IF($B24="","",VLOOKUP($B24,Atletas!$J:$P,5,FALSE))</f>
        <v/>
      </c>
      <c r="E24" s="51" t="str">
        <f>IF($B24="","",VLOOKUP($B24,Atletas!$J:$P,6,FALSE))</f>
        <v/>
      </c>
      <c r="F24" s="123"/>
      <c r="G24" s="123"/>
      <c r="H24" s="15" t="str">
        <f>IF(A24="","",IF(VLOOKUP($A24,Atletas!$A:$H,4,FALSE)&lt;&gt;$B$6,VLOOKUP($A24,Atletas!$A:$H,4,FALSE),""))</f>
        <v/>
      </c>
      <c r="I24" s="115" t="str">
        <f>IFERROR(HLOOKUP($I$8,Tab_Din_nome!$A$2:$SK$333,18,0),"")</f>
        <v/>
      </c>
      <c r="J24" s="111" t="str">
        <f>IFERROR(VLOOKUP($I24,Atletas!$J:$P,5,FALSE),"")</f>
        <v/>
      </c>
      <c r="K24" s="58" t="str">
        <f>IFERROR(VLOOKUP($I24,Atletas!$J:$P,2,FALSE),"")</f>
        <v/>
      </c>
      <c r="L24" s="15"/>
      <c r="M24" s="15"/>
      <c r="N24" s="25" t="s">
        <v>29</v>
      </c>
      <c r="P24" s="75" t="s">
        <v>336</v>
      </c>
      <c r="Q24" s="23" t="s">
        <v>158</v>
      </c>
      <c r="R24" s="23" t="s">
        <v>1669</v>
      </c>
    </row>
    <row r="25" spans="1:18" ht="20" customHeight="1">
      <c r="A25" s="54" t="str">
        <f>IF($B25="","",VLOOKUP($B25,Atletas!$J:$P,2,FALSE))</f>
        <v/>
      </c>
      <c r="B25" s="36"/>
      <c r="C25" s="27" t="str">
        <f>IF($B25="","",VLOOKUP($B25,Atletas!$J:$P,4,FALSE))</f>
        <v/>
      </c>
      <c r="D25" s="51" t="str">
        <f>IF($B25="","",VLOOKUP($B25,Atletas!$J:$P,5,FALSE))</f>
        <v/>
      </c>
      <c r="E25" s="51" t="str">
        <f>IF($B25="","",VLOOKUP($B25,Atletas!$J:$P,6,FALSE))</f>
        <v/>
      </c>
      <c r="F25" s="123"/>
      <c r="G25" s="123"/>
      <c r="H25" s="15" t="str">
        <f>IF(A25="","",IF(VLOOKUP($A25,Atletas!$A:$H,4,FALSE)&lt;&gt;$B$6,VLOOKUP($A25,Atletas!$A:$H,4,FALSE),""))</f>
        <v/>
      </c>
      <c r="I25" s="115" t="str">
        <f>IFERROR(HLOOKUP($I$8,Tab_Din_nome!$A$2:$SK$333,19,0),"")</f>
        <v/>
      </c>
      <c r="J25" s="111" t="str">
        <f>IFERROR(VLOOKUP($I25,Atletas!$J:$P,5,FALSE),"")</f>
        <v/>
      </c>
      <c r="K25" s="58" t="str">
        <f>IFERROR(VLOOKUP($I25,Atletas!$J:$P,2,FALSE),"")</f>
        <v/>
      </c>
      <c r="L25" s="15"/>
      <c r="M25" s="15"/>
      <c r="N25" s="25" t="s">
        <v>30</v>
      </c>
      <c r="P25" s="75" t="s">
        <v>337</v>
      </c>
      <c r="Q25" s="23" t="s">
        <v>156</v>
      </c>
      <c r="R25" s="23" t="s">
        <v>1670</v>
      </c>
    </row>
    <row r="26" spans="1:18" ht="20" customHeight="1">
      <c r="A26" s="54" t="str">
        <f>IF($B26="","",VLOOKUP($B26,Atletas!$J:$P,2,FALSE))</f>
        <v/>
      </c>
      <c r="B26" s="36"/>
      <c r="C26" s="27" t="str">
        <f>IF($B26="","",VLOOKUP($B26,Atletas!$J:$P,4,FALSE))</f>
        <v/>
      </c>
      <c r="D26" s="51" t="str">
        <f>IF($B26="","",VLOOKUP($B26,Atletas!$J:$P,5,FALSE))</f>
        <v/>
      </c>
      <c r="E26" s="51" t="str">
        <f>IF($B26="","",VLOOKUP($B26,Atletas!$J:$P,6,FALSE))</f>
        <v/>
      </c>
      <c r="F26" s="123"/>
      <c r="G26" s="123"/>
      <c r="H26" s="15" t="str">
        <f>IF(A26="","",IF(VLOOKUP($A26,Atletas!$A:$H,4,FALSE)&lt;&gt;$B$6,VLOOKUP($A26,Atletas!$A:$H,4,FALSE),""))</f>
        <v/>
      </c>
      <c r="I26" s="115" t="str">
        <f>IFERROR(HLOOKUP($I$8,Tab_Din_nome!$A$2:$SK$333,20,0),"")</f>
        <v/>
      </c>
      <c r="J26" s="111" t="str">
        <f>IFERROR(VLOOKUP($I26,Atletas!$J:$P,5,FALSE),"")</f>
        <v/>
      </c>
      <c r="K26" s="58" t="str">
        <f>IFERROR(VLOOKUP($I26,Atletas!$J:$P,2,FALSE),"")</f>
        <v/>
      </c>
      <c r="L26" s="15"/>
      <c r="M26" s="15"/>
      <c r="N26" s="25" t="s">
        <v>31</v>
      </c>
      <c r="P26" s="75" t="s">
        <v>338</v>
      </c>
      <c r="Q26" s="23" t="s">
        <v>170</v>
      </c>
      <c r="R26" s="23" t="s">
        <v>1671</v>
      </c>
    </row>
    <row r="27" spans="1:18" ht="20" customHeight="1">
      <c r="A27" s="54" t="str">
        <f>IF($B27="","",VLOOKUP($B27,Atletas!$J:$P,2,FALSE))</f>
        <v/>
      </c>
      <c r="B27" s="36"/>
      <c r="C27" s="27" t="str">
        <f>IF($B27="","",VLOOKUP($B27,Atletas!$J:$P,4,FALSE))</f>
        <v/>
      </c>
      <c r="D27" s="51" t="str">
        <f>IF($B27="","",VLOOKUP($B27,Atletas!$J:$P,5,FALSE))</f>
        <v/>
      </c>
      <c r="E27" s="51" t="str">
        <f>IF($B27="","",VLOOKUP($B27,Atletas!$J:$P,6,FALSE))</f>
        <v/>
      </c>
      <c r="F27" s="123"/>
      <c r="G27" s="123"/>
      <c r="H27" s="15" t="str">
        <f>IF(A27="","",IF(VLOOKUP($A27,Atletas!$A:$H,4,FALSE)&lt;&gt;$B$6,VLOOKUP($A27,Atletas!$A:$H,4,FALSE),""))</f>
        <v/>
      </c>
      <c r="I27" s="115" t="str">
        <f>IFERROR(HLOOKUP($I$8,Tab_Din_nome!$A$2:$SK$333,21,0),"")</f>
        <v/>
      </c>
      <c r="J27" s="111" t="str">
        <f>IFERROR(VLOOKUP($I27,Atletas!$J:$P,5,FALSE),"")</f>
        <v/>
      </c>
      <c r="K27" s="58" t="str">
        <f>IFERROR(VLOOKUP($I27,Atletas!$J:$P,2,FALSE),"")</f>
        <v/>
      </c>
      <c r="L27" s="15"/>
      <c r="M27" s="15"/>
      <c r="N27" s="25" t="s">
        <v>625</v>
      </c>
      <c r="P27" s="75" t="s">
        <v>339</v>
      </c>
      <c r="Q27" s="23" t="s">
        <v>894</v>
      </c>
      <c r="R27" s="23" t="s">
        <v>1672</v>
      </c>
    </row>
    <row r="28" spans="1:18" ht="20" customHeight="1">
      <c r="A28" s="54" t="str">
        <f>IF($B28="","",VLOOKUP($B28,Atletas!$J:$P,2,FALSE))</f>
        <v/>
      </c>
      <c r="B28" s="36"/>
      <c r="C28" s="27" t="str">
        <f>IF($B28="","",VLOOKUP($B28,Atletas!$J:$P,4,FALSE))</f>
        <v/>
      </c>
      <c r="D28" s="51" t="str">
        <f>IF($B28="","",VLOOKUP($B28,Atletas!$J:$P,5,FALSE))</f>
        <v/>
      </c>
      <c r="E28" s="51" t="str">
        <f>IF($B28="","",VLOOKUP($B28,Atletas!$J:$P,6,FALSE))</f>
        <v/>
      </c>
      <c r="F28" s="123"/>
      <c r="G28" s="123"/>
      <c r="H28" s="15" t="str">
        <f>IF(A28="","",IF(VLOOKUP($A28,Atletas!$A:$H,4,FALSE)&lt;&gt;$B$6,VLOOKUP($A28,Atletas!$A:$H,4,FALSE),""))</f>
        <v/>
      </c>
      <c r="I28" s="115" t="str">
        <f>IFERROR(HLOOKUP($I$8,Tab_Din_nome!$A$2:$SK$333,22,0),"")</f>
        <v/>
      </c>
      <c r="J28" s="111" t="str">
        <f>IFERROR(VLOOKUP($I28,Atletas!$J:$P,5,FALSE),"")</f>
        <v/>
      </c>
      <c r="K28" s="58" t="str">
        <f>IFERROR(VLOOKUP($I28,Atletas!$J:$P,2,FALSE),"")</f>
        <v/>
      </c>
      <c r="L28" s="15"/>
      <c r="M28" s="15"/>
      <c r="N28" s="25" t="s">
        <v>626</v>
      </c>
      <c r="P28" s="75" t="s">
        <v>340</v>
      </c>
      <c r="Q28" s="23" t="s">
        <v>437</v>
      </c>
      <c r="R28" s="23" t="s">
        <v>1673</v>
      </c>
    </row>
    <row r="29" spans="1:18" ht="20" customHeight="1">
      <c r="A29" s="54" t="str">
        <f>IF($B29="","",VLOOKUP($B29,Atletas!$J:$P,2,FALSE))</f>
        <v/>
      </c>
      <c r="B29" s="36"/>
      <c r="C29" s="27" t="str">
        <f>IF($B29="","",VLOOKUP($B29,Atletas!$J:$P,4,FALSE))</f>
        <v/>
      </c>
      <c r="D29" s="51" t="str">
        <f>IF($B29="","",VLOOKUP($B29,Atletas!$J:$P,5,FALSE))</f>
        <v/>
      </c>
      <c r="E29" s="51" t="str">
        <f>IF($B29="","",VLOOKUP($B29,Atletas!$J:$P,6,FALSE))</f>
        <v/>
      </c>
      <c r="F29" s="123"/>
      <c r="G29" s="123"/>
      <c r="H29" s="15" t="str">
        <f>IF(A29="","",IF(VLOOKUP($A29,Atletas!$A:$H,4,FALSE)&lt;&gt;$B$6,VLOOKUP($A29,Atletas!$A:$H,4,FALSE),""))</f>
        <v/>
      </c>
      <c r="I29" s="115" t="str">
        <f>IFERROR(HLOOKUP($I$8,Tab_Din_nome!$A$2:$SK$333,23,0),"")</f>
        <v/>
      </c>
      <c r="J29" s="111" t="str">
        <f>IFERROR(VLOOKUP($I29,Atletas!$J:$P,5,FALSE),"")</f>
        <v/>
      </c>
      <c r="K29" s="58" t="str">
        <f>IFERROR(VLOOKUP($I29,Atletas!$J:$P,2,FALSE),"")</f>
        <v/>
      </c>
      <c r="L29" s="15"/>
      <c r="M29" s="15"/>
      <c r="N29" s="25" t="s">
        <v>627</v>
      </c>
      <c r="P29" s="75" t="s">
        <v>341</v>
      </c>
      <c r="Q29" s="23" t="s">
        <v>510</v>
      </c>
      <c r="R29" s="23" t="s">
        <v>1674</v>
      </c>
    </row>
    <row r="30" spans="1:18" ht="20" customHeight="1">
      <c r="A30" s="54" t="str">
        <f>IF($B30="","",VLOOKUP($B30,Atletas!$J:$P,2,FALSE))</f>
        <v/>
      </c>
      <c r="B30" s="36"/>
      <c r="C30" s="27" t="str">
        <f>IF($B30="","",VLOOKUP($B30,Atletas!$J:$P,4,FALSE))</f>
        <v/>
      </c>
      <c r="D30" s="51" t="str">
        <f>IF($B30="","",VLOOKUP($B30,Atletas!$J:$P,5,FALSE))</f>
        <v/>
      </c>
      <c r="E30" s="51" t="str">
        <f>IF($B30="","",VLOOKUP($B30,Atletas!$J:$P,6,FALSE))</f>
        <v/>
      </c>
      <c r="F30" s="123"/>
      <c r="G30" s="123"/>
      <c r="H30" s="15" t="str">
        <f>IF(A30="","",IF(VLOOKUP($A30,Atletas!$A:$H,4,FALSE)&lt;&gt;$B$6,VLOOKUP($A30,Atletas!$A:$H,4,FALSE),""))</f>
        <v/>
      </c>
      <c r="I30" s="115" t="str">
        <f>IFERROR(HLOOKUP($I$8,Tab_Din_nome!$A$2:$SK$333,24,0),"")</f>
        <v/>
      </c>
      <c r="J30" s="111" t="str">
        <f>IFERROR(VLOOKUP($I30,Atletas!$J:$P,5,FALSE),"")</f>
        <v/>
      </c>
      <c r="K30" s="58" t="str">
        <f>IFERROR(VLOOKUP($I30,Atletas!$J:$P,2,FALSE),"")</f>
        <v/>
      </c>
      <c r="L30" s="15"/>
      <c r="M30" s="15"/>
      <c r="N30" s="25" t="s">
        <v>628</v>
      </c>
      <c r="P30" s="75" t="s">
        <v>342</v>
      </c>
      <c r="Q30" s="23" t="s">
        <v>171</v>
      </c>
      <c r="R30" s="23" t="s">
        <v>1675</v>
      </c>
    </row>
    <row r="31" spans="1:18" ht="20" customHeight="1">
      <c r="A31" s="54" t="str">
        <f>IF($B31="","",VLOOKUP($B31,Atletas!$J:$P,2,FALSE))</f>
        <v/>
      </c>
      <c r="B31" s="36"/>
      <c r="C31" s="27" t="str">
        <f>IF($B31="","",VLOOKUP($B31,Atletas!$J:$P,4,FALSE))</f>
        <v/>
      </c>
      <c r="D31" s="51" t="str">
        <f>IF($B31="","",VLOOKUP($B31,Atletas!$J:$P,5,FALSE))</f>
        <v/>
      </c>
      <c r="E31" s="51" t="str">
        <f>IF($B31="","",VLOOKUP($B31,Atletas!$J:$P,6,FALSE))</f>
        <v/>
      </c>
      <c r="F31" s="123"/>
      <c r="G31" s="123"/>
      <c r="H31" s="15" t="str">
        <f>IF(A31="","",IF(VLOOKUP($A31,Atletas!$A:$H,4,FALSE)&lt;&gt;$B$6,VLOOKUP($A31,Atletas!$A:$H,4,FALSE),""))</f>
        <v/>
      </c>
      <c r="I31" s="115" t="str">
        <f>IFERROR(HLOOKUP($I$8,Tab_Din_nome!$A$2:$SK$333,25,0),"")</f>
        <v/>
      </c>
      <c r="J31" s="111" t="str">
        <f>IFERROR(VLOOKUP($I31,Atletas!$J:$P,5,FALSE),"")</f>
        <v/>
      </c>
      <c r="K31" s="58" t="str">
        <f>IFERROR(VLOOKUP($I31,Atletas!$J:$P,2,FALSE),"")</f>
        <v/>
      </c>
      <c r="L31" s="15"/>
      <c r="M31" s="15"/>
      <c r="N31" s="25" t="s">
        <v>629</v>
      </c>
      <c r="P31" s="75" t="s">
        <v>343</v>
      </c>
      <c r="Q31" s="23" t="s">
        <v>1237</v>
      </c>
      <c r="R31" s="23" t="s">
        <v>1676</v>
      </c>
    </row>
    <row r="32" spans="1:18" ht="20" customHeight="1">
      <c r="A32" s="54" t="str">
        <f>IF($B32="","",VLOOKUP($B32,Atletas!$J:$P,2,FALSE))</f>
        <v/>
      </c>
      <c r="B32" s="36"/>
      <c r="C32" s="27" t="str">
        <f>IF($B32="","",VLOOKUP($B32,Atletas!$J:$P,4,FALSE))</f>
        <v/>
      </c>
      <c r="D32" s="51" t="str">
        <f>IF($B32="","",VLOOKUP($B32,Atletas!$J:$P,5,FALSE))</f>
        <v/>
      </c>
      <c r="E32" s="51" t="str">
        <f>IF($B32="","",VLOOKUP($B32,Atletas!$J:$P,6,FALSE))</f>
        <v/>
      </c>
      <c r="F32" s="123"/>
      <c r="G32" s="123"/>
      <c r="H32" s="15" t="str">
        <f>IF(A32="","",IF(VLOOKUP($A32,Atletas!$A:$H,4,FALSE)&lt;&gt;$B$6,VLOOKUP($A32,Atletas!$A:$H,4,FALSE),""))</f>
        <v/>
      </c>
      <c r="I32" s="115" t="str">
        <f>IFERROR(HLOOKUP($I$8,Tab_Din_nome!$A$2:$SK$333,26,0),"")</f>
        <v/>
      </c>
      <c r="J32" s="111" t="str">
        <f>IFERROR(VLOOKUP($I32,Atletas!$J:$P,5,FALSE),"")</f>
        <v/>
      </c>
      <c r="K32" s="58" t="str">
        <f>IFERROR(VLOOKUP($I32,Atletas!$J:$P,2,FALSE),"")</f>
        <v/>
      </c>
      <c r="L32" s="15"/>
      <c r="M32" s="15"/>
      <c r="N32" s="25" t="s">
        <v>630</v>
      </c>
      <c r="P32" s="75" t="s">
        <v>344</v>
      </c>
      <c r="Q32" s="23" t="s">
        <v>1238</v>
      </c>
      <c r="R32" s="23" t="s">
        <v>1677</v>
      </c>
    </row>
    <row r="33" spans="1:18" ht="20" customHeight="1">
      <c r="A33" s="54" t="str">
        <f>IF($B33="","",VLOOKUP($B33,Atletas!$J:$P,2,FALSE))</f>
        <v/>
      </c>
      <c r="B33" s="36"/>
      <c r="C33" s="27" t="str">
        <f>IF($B33="","",VLOOKUP($B33,Atletas!$J:$P,4,FALSE))</f>
        <v/>
      </c>
      <c r="D33" s="51" t="str">
        <f>IF($B33="","",VLOOKUP($B33,Atletas!$J:$P,5,FALSE))</f>
        <v/>
      </c>
      <c r="E33" s="51" t="str">
        <f>IF($B33="","",VLOOKUP($B33,Atletas!$J:$P,6,FALSE))</f>
        <v/>
      </c>
      <c r="F33" s="123"/>
      <c r="G33" s="123"/>
      <c r="H33" s="15" t="str">
        <f>IF(A33="","",IF(VLOOKUP($A33,Atletas!$A:$H,4,FALSE)&lt;&gt;$B$6,VLOOKUP($A33,Atletas!$A:$H,4,FALSE),""))</f>
        <v/>
      </c>
      <c r="I33" s="115" t="str">
        <f>IFERROR(HLOOKUP($I$8,Tab_Din_nome!$A$2:$SK$333,27,0),"")</f>
        <v/>
      </c>
      <c r="J33" s="111" t="str">
        <f>IFERROR(VLOOKUP($I33,Atletas!$J:$P,5,FALSE),"")</f>
        <v/>
      </c>
      <c r="K33" s="58" t="str">
        <f>IFERROR(VLOOKUP($I33,Atletas!$J:$P,2,FALSE),"")</f>
        <v/>
      </c>
      <c r="L33" s="15"/>
      <c r="M33" s="15"/>
      <c r="N33" s="25"/>
      <c r="P33" s="75" t="s">
        <v>345</v>
      </c>
      <c r="Q33" s="23" t="s">
        <v>153</v>
      </c>
      <c r="R33" s="23" t="s">
        <v>1678</v>
      </c>
    </row>
    <row r="34" spans="1:18" ht="20" customHeight="1">
      <c r="A34" s="54" t="str">
        <f>IF($B34="","",VLOOKUP($B34,Atletas!$J:$P,2,FALSE))</f>
        <v/>
      </c>
      <c r="B34" s="36"/>
      <c r="C34" s="27" t="str">
        <f>IF($B34="","",VLOOKUP($B34,Atletas!$J:$P,4,FALSE))</f>
        <v/>
      </c>
      <c r="D34" s="51" t="str">
        <f>IF($B34="","",VLOOKUP($B34,Atletas!$J:$P,5,FALSE))</f>
        <v/>
      </c>
      <c r="E34" s="51" t="str">
        <f>IF($B34="","",VLOOKUP($B34,Atletas!$J:$P,6,FALSE))</f>
        <v/>
      </c>
      <c r="F34" s="123"/>
      <c r="G34" s="123"/>
      <c r="H34" s="15" t="str">
        <f>IF(A34="","",IF(VLOOKUP($A34,Atletas!$A:$H,4,FALSE)&lt;&gt;$B$6,VLOOKUP($A34,Atletas!$A:$H,4,FALSE),""))</f>
        <v/>
      </c>
      <c r="I34" s="115" t="str">
        <f>IFERROR(HLOOKUP($I$8,Tab_Din_nome!$A$2:$SK$333,28,0),"")</f>
        <v/>
      </c>
      <c r="J34" s="111" t="str">
        <f>IFERROR(VLOOKUP($I34,Atletas!$J:$P,5,FALSE),"")</f>
        <v/>
      </c>
      <c r="K34" s="58" t="str">
        <f>IFERROR(VLOOKUP($I34,Atletas!$J:$P,2,FALSE),"")</f>
        <v/>
      </c>
      <c r="L34" s="15"/>
      <c r="M34" s="15"/>
      <c r="N34" s="25" t="s">
        <v>34</v>
      </c>
      <c r="P34" s="75" t="s">
        <v>346</v>
      </c>
      <c r="Q34" s="23" t="s">
        <v>531</v>
      </c>
      <c r="R34" s="23" t="s">
        <v>1679</v>
      </c>
    </row>
    <row r="35" spans="1:18" ht="20" customHeight="1">
      <c r="A35" s="54" t="str">
        <f>IF($B35="","",VLOOKUP($B35,Atletas!$J:$P,2,FALSE))</f>
        <v/>
      </c>
      <c r="B35" s="36"/>
      <c r="C35" s="27" t="str">
        <f>IF($B35="","",VLOOKUP($B35,Atletas!$J:$P,4,FALSE))</f>
        <v/>
      </c>
      <c r="D35" s="51" t="str">
        <f>IF($B35="","",VLOOKUP($B35,Atletas!$J:$P,5,FALSE))</f>
        <v/>
      </c>
      <c r="E35" s="51" t="str">
        <f>IF($B35="","",VLOOKUP($B35,Atletas!$J:$P,6,FALSE))</f>
        <v/>
      </c>
      <c r="F35" s="123"/>
      <c r="G35" s="123"/>
      <c r="H35" s="15" t="str">
        <f>IF(A35="","",IF(VLOOKUP($A35,Atletas!$A:$H,4,FALSE)&lt;&gt;$B$6,VLOOKUP($A35,Atletas!$A:$H,4,FALSE),""))</f>
        <v/>
      </c>
      <c r="I35" s="115" t="str">
        <f>IFERROR(HLOOKUP($I$8,Tab_Din_nome!$A$2:$SK$333,29,0),"")</f>
        <v/>
      </c>
      <c r="J35" s="111" t="str">
        <f>IFERROR(VLOOKUP($I35,Atletas!$J:$P,5,FALSE),"")</f>
        <v/>
      </c>
      <c r="K35" s="58" t="str">
        <f>IFERROR(VLOOKUP($I35,Atletas!$J:$P,2,FALSE),"")</f>
        <v/>
      </c>
      <c r="L35" s="15"/>
      <c r="M35" s="15"/>
      <c r="N35" s="25" t="s">
        <v>35</v>
      </c>
      <c r="P35" s="75" t="s">
        <v>347</v>
      </c>
      <c r="Q35" s="23" t="s">
        <v>1239</v>
      </c>
      <c r="R35" s="23" t="s">
        <v>1680</v>
      </c>
    </row>
    <row r="36" spans="1:18" ht="20" customHeight="1">
      <c r="A36" s="54" t="str">
        <f>IF($B36="","",VLOOKUP($B36,Atletas!$J:$P,2,FALSE))</f>
        <v/>
      </c>
      <c r="B36" s="36"/>
      <c r="C36" s="27" t="str">
        <f>IF($B36="","",VLOOKUP($B36,Atletas!$J:$P,4,FALSE))</f>
        <v/>
      </c>
      <c r="D36" s="51" t="str">
        <f>IF($B36="","",VLOOKUP($B36,Atletas!$J:$P,5,FALSE))</f>
        <v/>
      </c>
      <c r="E36" s="51" t="str">
        <f>IF($B36="","",VLOOKUP($B36,Atletas!$J:$P,6,FALSE))</f>
        <v/>
      </c>
      <c r="F36" s="123"/>
      <c r="G36" s="123"/>
      <c r="H36" s="15" t="str">
        <f>IF(A36="","",IF(VLOOKUP($A36,Atletas!$A:$H,4,FALSE)&lt;&gt;$B$6,VLOOKUP($A36,Atletas!$A:$H,4,FALSE),""))</f>
        <v/>
      </c>
      <c r="I36" s="115" t="str">
        <f>IFERROR(HLOOKUP($I$8,Tab_Din_nome!$A$2:$SK$333,30,0),"")</f>
        <v/>
      </c>
      <c r="J36" s="111" t="str">
        <f>IFERROR(VLOOKUP($I36,Atletas!$J:$P,5,FALSE),"")</f>
        <v/>
      </c>
      <c r="K36" s="58" t="str">
        <f>IFERROR(VLOOKUP($I36,Atletas!$J:$P,2,FALSE),"")</f>
        <v/>
      </c>
      <c r="L36" s="15"/>
      <c r="M36" s="15"/>
      <c r="N36" s="25" t="s">
        <v>36</v>
      </c>
      <c r="P36" s="75" t="s">
        <v>348</v>
      </c>
      <c r="Q36" s="23" t="s">
        <v>545</v>
      </c>
      <c r="R36" s="23" t="s">
        <v>1681</v>
      </c>
    </row>
    <row r="37" spans="1:18" ht="20" customHeight="1">
      <c r="A37" s="54" t="str">
        <f>IF($B37="","",VLOOKUP($B37,Atletas!$J:$P,2,FALSE))</f>
        <v/>
      </c>
      <c r="B37" s="36"/>
      <c r="C37" s="27" t="str">
        <f>IF($B37="","",VLOOKUP($B37,Atletas!$J:$P,4,FALSE))</f>
        <v/>
      </c>
      <c r="D37" s="51" t="str">
        <f>IF($B37="","",VLOOKUP($B37,Atletas!$J:$P,5,FALSE))</f>
        <v/>
      </c>
      <c r="E37" s="51" t="str">
        <f>IF($B37="","",VLOOKUP($B37,Atletas!$J:$P,6,FALSE))</f>
        <v/>
      </c>
      <c r="F37" s="123"/>
      <c r="G37" s="123"/>
      <c r="H37" s="15" t="str">
        <f>IF(A37="","",IF(VLOOKUP($A37,Atletas!$A:$H,4,FALSE)&lt;&gt;$B$6,VLOOKUP($A37,Atletas!$A:$H,4,FALSE),""))</f>
        <v/>
      </c>
      <c r="I37" s="115" t="str">
        <f>IFERROR(HLOOKUP($I$8,Tab_Din_nome!$A$2:$SK$333,31,0),"")</f>
        <v/>
      </c>
      <c r="J37" s="111" t="str">
        <f>IFERROR(VLOOKUP($I37,Atletas!$J:$P,5,FALSE),"")</f>
        <v/>
      </c>
      <c r="K37" s="58" t="str">
        <f>IFERROR(VLOOKUP($I37,Atletas!$J:$P,2,FALSE),"")</f>
        <v/>
      </c>
      <c r="L37" s="15"/>
      <c r="M37" s="15"/>
      <c r="N37" s="25" t="s">
        <v>37</v>
      </c>
      <c r="P37" s="75" t="s">
        <v>349</v>
      </c>
      <c r="Q37" s="23" t="s">
        <v>1069</v>
      </c>
      <c r="R37" s="23" t="s">
        <v>1682</v>
      </c>
    </row>
    <row r="38" spans="1:18" ht="20" customHeight="1">
      <c r="A38" s="54" t="str">
        <f>IF($B38="","",VLOOKUP($B38,Atletas!$J:$P,2,FALSE))</f>
        <v/>
      </c>
      <c r="B38" s="36"/>
      <c r="C38" s="27" t="str">
        <f>IF($B38="","",VLOOKUP($B38,Atletas!$J:$P,4,FALSE))</f>
        <v/>
      </c>
      <c r="D38" s="51" t="str">
        <f>IF($B38="","",VLOOKUP($B38,Atletas!$J:$P,5,FALSE))</f>
        <v/>
      </c>
      <c r="E38" s="51" t="str">
        <f>IF($B38="","",VLOOKUP($B38,Atletas!$J:$P,6,FALSE))</f>
        <v/>
      </c>
      <c r="F38" s="123"/>
      <c r="G38" s="123"/>
      <c r="H38" s="15" t="str">
        <f>IF(A38="","",IF(VLOOKUP($A38,Atletas!$A:$H,4,FALSE)&lt;&gt;$B$6,VLOOKUP($A38,Atletas!$A:$H,4,FALSE),""))</f>
        <v/>
      </c>
      <c r="I38" s="115" t="str">
        <f>IFERROR(HLOOKUP($I$8,Tab_Din_nome!$A$2:$SK$333,32,0),"")</f>
        <v/>
      </c>
      <c r="J38" s="111" t="str">
        <f>IFERROR(VLOOKUP($I38,Atletas!$J:$P,5,FALSE),"")</f>
        <v/>
      </c>
      <c r="K38" s="58" t="str">
        <f>IFERROR(VLOOKUP($I38,Atletas!$J:$P,2,FALSE),"")</f>
        <v/>
      </c>
      <c r="L38" s="15"/>
      <c r="M38" s="15"/>
      <c r="N38" s="25" t="s">
        <v>38</v>
      </c>
      <c r="P38" s="75" t="s">
        <v>350</v>
      </c>
      <c r="Q38" s="23" t="s">
        <v>736</v>
      </c>
      <c r="R38" s="23" t="s">
        <v>1683</v>
      </c>
    </row>
    <row r="39" spans="1:18" ht="20" customHeight="1">
      <c r="A39" s="54" t="str">
        <f>IF($B39="","",VLOOKUP($B39,Atletas!$J:$P,2,FALSE))</f>
        <v/>
      </c>
      <c r="B39" s="36"/>
      <c r="C39" s="27" t="str">
        <f>IF($B39="","",VLOOKUP($B39,Atletas!$J:$P,4,FALSE))</f>
        <v/>
      </c>
      <c r="D39" s="51" t="str">
        <f>IF($B39="","",VLOOKUP($B39,Atletas!$J:$P,5,FALSE))</f>
        <v/>
      </c>
      <c r="E39" s="51" t="str">
        <f>IF($B39="","",VLOOKUP($B39,Atletas!$J:$P,6,FALSE))</f>
        <v/>
      </c>
      <c r="F39" s="123"/>
      <c r="G39" s="123"/>
      <c r="H39" s="15" t="str">
        <f>IF(A39="","",IF(VLOOKUP($A39,Atletas!$A:$H,4,FALSE)&lt;&gt;$B$6,VLOOKUP($A39,Atletas!$A:$H,4,FALSE),""))</f>
        <v/>
      </c>
      <c r="I39" s="115" t="str">
        <f>IFERROR(HLOOKUP($I$8,Tab_Din_nome!$A$2:$SK$333,33,0),"")</f>
        <v/>
      </c>
      <c r="J39" s="111" t="str">
        <f>IFERROR(VLOOKUP($I39,Atletas!$J:$P,5,FALSE),"")</f>
        <v/>
      </c>
      <c r="K39" s="58" t="str">
        <f>IFERROR(VLOOKUP($I39,Atletas!$J:$P,2,FALSE),"")</f>
        <v/>
      </c>
      <c r="L39" s="15"/>
      <c r="M39" s="15"/>
      <c r="N39" s="25" t="s">
        <v>39</v>
      </c>
      <c r="P39" s="75" t="s">
        <v>351</v>
      </c>
      <c r="Q39" s="23" t="s">
        <v>157</v>
      </c>
      <c r="R39" s="23" t="s">
        <v>1684</v>
      </c>
    </row>
    <row r="40" spans="1:18" ht="20" customHeight="1" thickBot="1">
      <c r="A40" s="55" t="str">
        <f>IF($B40="","",VLOOKUP($B40,Atletas!$J:$P,2,FALSE))</f>
        <v/>
      </c>
      <c r="B40" s="45"/>
      <c r="C40" s="43" t="str">
        <f>IF($B40="","",VLOOKUP($B40,Atletas!$J:$P,4,FALSE))</f>
        <v/>
      </c>
      <c r="D40" s="53" t="str">
        <f>IF($B40="","",VLOOKUP($B40,Atletas!$J:$P,5,FALSE))</f>
        <v/>
      </c>
      <c r="E40" s="53" t="str">
        <f>IF($B40="","",VLOOKUP($B40,Atletas!$J:$P,6,FALSE))</f>
        <v/>
      </c>
      <c r="F40" s="124"/>
      <c r="G40" s="124"/>
      <c r="H40" s="15" t="str">
        <f>IF(A40="","",IF(VLOOKUP($A40,Atletas!$A:$H,4,FALSE)&lt;&gt;$B$6,VLOOKUP($A40,Atletas!$A:$H,4,FALSE),""))</f>
        <v/>
      </c>
      <c r="I40" s="115" t="str">
        <f>IFERROR(HLOOKUP($I$8,Tab_Din_nome!$A$2:$SK$333,34,0),"")</f>
        <v/>
      </c>
      <c r="J40" s="111" t="str">
        <f>IFERROR(VLOOKUP($I40,Atletas!$J:$P,5,FALSE),"")</f>
        <v/>
      </c>
      <c r="K40" s="58" t="str">
        <f>IFERROR(VLOOKUP($I40,Atletas!$J:$P,2,FALSE),"")</f>
        <v/>
      </c>
      <c r="L40" s="20"/>
      <c r="M40" s="20"/>
      <c r="N40" s="25" t="s">
        <v>40</v>
      </c>
      <c r="P40" s="75" t="s">
        <v>352</v>
      </c>
      <c r="Q40" s="23" t="s">
        <v>169</v>
      </c>
      <c r="R40" s="23" t="s">
        <v>1685</v>
      </c>
    </row>
    <row r="41" spans="1:18" ht="20" customHeight="1">
      <c r="A41" s="54" t="str">
        <f>IF($B41="","",VLOOKUP($B41,Atletas!$J:$P,2,FALSE))</f>
        <v/>
      </c>
      <c r="B41" s="36"/>
      <c r="C41" s="27" t="str">
        <f>IF($B41="","",VLOOKUP($B41,Atletas!$J:$P,4,FALSE))</f>
        <v/>
      </c>
      <c r="D41" s="51" t="str">
        <f>IF($B41="","",VLOOKUP($B41,Atletas!$J:$P,5,FALSE))</f>
        <v/>
      </c>
      <c r="E41" s="51" t="str">
        <f>IF($B41="","",VLOOKUP($B41,Atletas!$J:$P,6,FALSE))</f>
        <v/>
      </c>
      <c r="F41" s="125"/>
      <c r="G41" s="125"/>
      <c r="H41" s="15" t="str">
        <f>IF(A41="","",IF(VLOOKUP($A41,Atletas!$A:$H,4,FALSE)&lt;&gt;$B$6,VLOOKUP($A41,Atletas!$A:$H,4,FALSE),""))</f>
        <v/>
      </c>
      <c r="I41" s="115" t="str">
        <f>IFERROR(HLOOKUP($I$8,Tab_Din_nome!$A$2:$SK$333,35,0),"")</f>
        <v/>
      </c>
      <c r="J41" s="111" t="str">
        <f>IFERROR(VLOOKUP($I41,Atletas!$J:$P,5,FALSE),"")</f>
        <v/>
      </c>
      <c r="K41" s="58" t="str">
        <f>IFERROR(VLOOKUP($I41,Atletas!$J:$P,2,FALSE),"")</f>
        <v/>
      </c>
      <c r="L41" s="20"/>
      <c r="M41" s="20"/>
      <c r="N41" s="25" t="s">
        <v>33</v>
      </c>
      <c r="P41" s="75" t="s">
        <v>353</v>
      </c>
      <c r="Q41" s="23" t="s">
        <v>150</v>
      </c>
      <c r="R41" s="23" t="s">
        <v>1686</v>
      </c>
    </row>
    <row r="42" spans="1:18" ht="20" customHeight="1">
      <c r="A42" s="54" t="str">
        <f>IF($B42="","",VLOOKUP($B42,Atletas!$J:$P,2,FALSE))</f>
        <v/>
      </c>
      <c r="B42" s="36"/>
      <c r="C42" s="27" t="str">
        <f>IF($B42="","",VLOOKUP($B42,Atletas!$J:$P,4,FALSE))</f>
        <v/>
      </c>
      <c r="D42" s="51" t="str">
        <f>IF($B42="","",VLOOKUP($B42,Atletas!$J:$P,5,FALSE))</f>
        <v/>
      </c>
      <c r="E42" s="51" t="str">
        <f>IF($B42="","",VLOOKUP($B42,Atletas!$J:$P,6,FALSE))</f>
        <v/>
      </c>
      <c r="F42" s="123"/>
      <c r="G42" s="123"/>
      <c r="H42" s="15" t="str">
        <f>IF(A42="","",IF(VLOOKUP($A42,Atletas!$A:$H,4,FALSE)&lt;&gt;$B$6,VLOOKUP($A42,Atletas!$A:$H,4,FALSE),""))</f>
        <v/>
      </c>
      <c r="I42" s="115" t="str">
        <f>IFERROR(HLOOKUP($I$8,Tab_Din_nome!$A$2:$SK$333,36,0),"")</f>
        <v/>
      </c>
      <c r="J42" s="111" t="str">
        <f>IFERROR(VLOOKUP($I42,Atletas!$J:$P,5,FALSE),"")</f>
        <v/>
      </c>
      <c r="K42" s="58" t="str">
        <f>IFERROR(VLOOKUP($I42,Atletas!$J:$P,2,FALSE),"")</f>
        <v/>
      </c>
      <c r="L42" s="20"/>
      <c r="M42" s="20"/>
      <c r="N42" s="25" t="s">
        <v>41</v>
      </c>
      <c r="P42" s="75" t="s">
        <v>354</v>
      </c>
      <c r="Q42" s="23" t="s">
        <v>508</v>
      </c>
      <c r="R42" s="23" t="s">
        <v>1687</v>
      </c>
    </row>
    <row r="43" spans="1:18" ht="20" customHeight="1">
      <c r="A43" s="54" t="str">
        <f>IF($B43="","",VLOOKUP($B43,Atletas!$J:$P,2,FALSE))</f>
        <v/>
      </c>
      <c r="B43" s="36"/>
      <c r="C43" s="27" t="str">
        <f>IF($B43="","",VLOOKUP($B43,Atletas!$J:$P,4,FALSE))</f>
        <v/>
      </c>
      <c r="D43" s="51" t="str">
        <f>IF($B43="","",VLOOKUP($B43,Atletas!$J:$P,5,FALSE))</f>
        <v/>
      </c>
      <c r="E43" s="51" t="str">
        <f>IF($B43="","",VLOOKUP($B43,Atletas!$J:$P,6,FALSE))</f>
        <v/>
      </c>
      <c r="F43" s="123"/>
      <c r="G43" s="123"/>
      <c r="H43" s="15" t="str">
        <f>IF(A43="","",IF(VLOOKUP($A43,Atletas!$A:$H,4,FALSE)&lt;&gt;$B$6,VLOOKUP($A43,Atletas!$A:$H,4,FALSE),""))</f>
        <v/>
      </c>
      <c r="I43" s="115" t="str">
        <f>IFERROR(HLOOKUP($I$8,Tab_Din_nome!$A$2:$SK$333,37,0),"")</f>
        <v/>
      </c>
      <c r="J43" s="111" t="str">
        <f>IFERROR(VLOOKUP($I43,Atletas!$J:$P,5,FALSE),"")</f>
        <v/>
      </c>
      <c r="K43" s="58" t="str">
        <f>IFERROR(VLOOKUP($I43,Atletas!$J:$P,2,FALSE),"")</f>
        <v/>
      </c>
      <c r="L43" s="20"/>
      <c r="M43" s="20"/>
      <c r="N43" s="25" t="s">
        <v>42</v>
      </c>
      <c r="P43" s="75" t="s">
        <v>355</v>
      </c>
      <c r="Q43" s="23" t="s">
        <v>1688</v>
      </c>
      <c r="R43" s="23" t="s">
        <v>1689</v>
      </c>
    </row>
    <row r="44" spans="1:18" ht="20" customHeight="1">
      <c r="A44" s="54" t="str">
        <f>IF($B44="","",VLOOKUP($B44,Atletas!$J:$P,2,FALSE))</f>
        <v/>
      </c>
      <c r="B44" s="36"/>
      <c r="C44" s="27" t="str">
        <f>IF($B44="","",VLOOKUP($B44,Atletas!$J:$P,4,FALSE))</f>
        <v/>
      </c>
      <c r="D44" s="51" t="str">
        <f>IF($B44="","",VLOOKUP($B44,Atletas!$J:$P,5,FALSE))</f>
        <v/>
      </c>
      <c r="E44" s="51" t="str">
        <f>IF($B44="","",VLOOKUP($B44,Atletas!$J:$P,6,FALSE))</f>
        <v/>
      </c>
      <c r="F44" s="123"/>
      <c r="G44" s="123"/>
      <c r="H44" s="15" t="str">
        <f>IF(A44="","",IF(VLOOKUP($A44,Atletas!$A:$H,4,FALSE)&lt;&gt;$B$6,VLOOKUP($A44,Atletas!$A:$H,4,FALSE),""))</f>
        <v/>
      </c>
      <c r="I44" s="115" t="str">
        <f>IFERROR(HLOOKUP($I$8,Tab_Din_nome!$A$2:$SK$333,38,0),"")</f>
        <v/>
      </c>
      <c r="J44" s="111" t="str">
        <f>IFERROR(VLOOKUP($I44,Atletas!$J:$P,5,FALSE),"")</f>
        <v/>
      </c>
      <c r="K44" s="58" t="str">
        <f>IFERROR(VLOOKUP($I44,Atletas!$J:$P,2,FALSE),"")</f>
        <v/>
      </c>
      <c r="L44" s="20"/>
      <c r="M44" s="20"/>
      <c r="N44" s="25" t="s">
        <v>43</v>
      </c>
      <c r="P44" s="75" t="s">
        <v>356</v>
      </c>
      <c r="Q44" s="23" t="s">
        <v>406</v>
      </c>
      <c r="R44" s="23" t="s">
        <v>1690</v>
      </c>
    </row>
    <row r="45" spans="1:18" ht="20" customHeight="1">
      <c r="A45" s="54" t="str">
        <f>IF($B45="","",VLOOKUP($B45,Atletas!$J:$P,2,FALSE))</f>
        <v/>
      </c>
      <c r="B45" s="36"/>
      <c r="C45" s="27" t="str">
        <f>IF($B45="","",VLOOKUP($B45,Atletas!$J:$P,4,FALSE))</f>
        <v/>
      </c>
      <c r="D45" s="51" t="str">
        <f>IF($B45="","",VLOOKUP($B45,Atletas!$J:$P,5,FALSE))</f>
        <v/>
      </c>
      <c r="E45" s="51" t="str">
        <f>IF($B45="","",VLOOKUP($B45,Atletas!$J:$P,6,FALSE))</f>
        <v/>
      </c>
      <c r="F45" s="123"/>
      <c r="G45" s="123"/>
      <c r="H45" s="15" t="str">
        <f>IF(A45="","",IF(VLOOKUP($A45,Atletas!$A:$H,4,FALSE)&lt;&gt;$B$6,VLOOKUP($A45,Atletas!$A:$H,4,FALSE),""))</f>
        <v/>
      </c>
      <c r="I45" s="115" t="str">
        <f>IFERROR(HLOOKUP($I$8,Tab_Din_nome!$A$2:$SK$333,39,0),"")</f>
        <v/>
      </c>
      <c r="J45" s="111" t="str">
        <f>IFERROR(VLOOKUP($I45,Atletas!$J:$P,5,FALSE),"")</f>
        <v/>
      </c>
      <c r="K45" s="58" t="str">
        <f>IFERROR(VLOOKUP($I45,Atletas!$J:$P,2,FALSE),"")</f>
        <v/>
      </c>
      <c r="L45" s="20"/>
      <c r="M45" s="20"/>
      <c r="N45" s="25" t="s">
        <v>44</v>
      </c>
      <c r="P45" s="75" t="s">
        <v>357</v>
      </c>
      <c r="Q45" s="23" t="s">
        <v>1691</v>
      </c>
      <c r="R45" s="23" t="s">
        <v>1692</v>
      </c>
    </row>
    <row r="46" spans="1:18" ht="20" customHeight="1">
      <c r="A46" s="54" t="str">
        <f>IF($B46="","",VLOOKUP($B46,Atletas!$J:$P,2,FALSE))</f>
        <v/>
      </c>
      <c r="B46" s="36"/>
      <c r="C46" s="27" t="str">
        <f>IF($B46="","",VLOOKUP($B46,Atletas!$J:$P,4,FALSE))</f>
        <v/>
      </c>
      <c r="D46" s="51" t="str">
        <f>IF($B46="","",VLOOKUP($B46,Atletas!$J:$P,5,FALSE))</f>
        <v/>
      </c>
      <c r="E46" s="51" t="str">
        <f>IF($B46="","",VLOOKUP($B46,Atletas!$J:$P,6,FALSE))</f>
        <v/>
      </c>
      <c r="F46" s="123"/>
      <c r="G46" s="123"/>
      <c r="H46" s="15" t="str">
        <f>IF(A46="","",IF(VLOOKUP($A46,Atletas!$A:$H,4,FALSE)&lt;&gt;$B$6,VLOOKUP($A46,Atletas!$A:$H,4,FALSE),""))</f>
        <v/>
      </c>
      <c r="I46" s="115" t="str">
        <f>IFERROR(HLOOKUP($I$8,Tab_Din_nome!$A$2:$SK$333,40,0),"")</f>
        <v/>
      </c>
      <c r="J46" s="111" t="str">
        <f>IFERROR(VLOOKUP($I46,Atletas!$J:$P,5,FALSE),"")</f>
        <v/>
      </c>
      <c r="K46" s="58" t="str">
        <f>IFERROR(VLOOKUP($I46,Atletas!$J:$P,2,FALSE),"")</f>
        <v/>
      </c>
      <c r="L46" s="20"/>
      <c r="M46" s="20"/>
      <c r="N46" s="25" t="s">
        <v>45</v>
      </c>
      <c r="P46" s="75" t="s">
        <v>358</v>
      </c>
      <c r="Q46" s="23" t="s">
        <v>161</v>
      </c>
      <c r="R46" s="23" t="s">
        <v>1693</v>
      </c>
    </row>
    <row r="47" spans="1:18" ht="20" customHeight="1">
      <c r="A47" s="54" t="str">
        <f>IF($B47="","",VLOOKUP($B47,Atletas!$J:$P,2,FALSE))</f>
        <v/>
      </c>
      <c r="B47" s="36"/>
      <c r="C47" s="27" t="str">
        <f>IF($B47="","",VLOOKUP($B47,Atletas!$J:$P,4,FALSE))</f>
        <v/>
      </c>
      <c r="D47" s="51" t="str">
        <f>IF($B47="","",VLOOKUP($B47,Atletas!$J:$P,5,FALSE))</f>
        <v/>
      </c>
      <c r="E47" s="51" t="str">
        <f>IF($B47="","",VLOOKUP($B47,Atletas!$J:$P,6,FALSE))</f>
        <v/>
      </c>
      <c r="F47" s="123"/>
      <c r="G47" s="123"/>
      <c r="H47" s="15" t="str">
        <f>IF(A47="","",IF(VLOOKUP($A47,Atletas!$A:$H,4,FALSE)&lt;&gt;$B$6,VLOOKUP($A47,Atletas!$A:$H,4,FALSE),""))</f>
        <v/>
      </c>
      <c r="I47" s="115" t="str">
        <f>IFERROR(HLOOKUP($I$8,Tab_Din_nome!$A$2:$SK$333,41,0),"")</f>
        <v/>
      </c>
      <c r="J47" s="111" t="str">
        <f>IFERROR(VLOOKUP($I47,Atletas!$J:$P,5,FALSE),"")</f>
        <v/>
      </c>
      <c r="K47" s="58" t="str">
        <f>IFERROR(VLOOKUP($I47,Atletas!$J:$P,2,FALSE),"")</f>
        <v/>
      </c>
      <c r="L47" s="20"/>
      <c r="M47" s="20"/>
      <c r="N47" s="25" t="s">
        <v>46</v>
      </c>
      <c r="P47" s="75" t="s">
        <v>359</v>
      </c>
      <c r="Q47" s="23" t="s">
        <v>164</v>
      </c>
      <c r="R47" s="23" t="s">
        <v>1694</v>
      </c>
    </row>
    <row r="48" spans="1:18" ht="20" customHeight="1">
      <c r="A48" s="54" t="str">
        <f>IF($B48="","",VLOOKUP($B48,Atletas!$J:$P,2,FALSE))</f>
        <v/>
      </c>
      <c r="B48" s="36"/>
      <c r="C48" s="27" t="str">
        <f>IF($B48="","",VLOOKUP($B48,Atletas!$J:$P,4,FALSE))</f>
        <v/>
      </c>
      <c r="D48" s="51" t="str">
        <f>IF($B48="","",VLOOKUP($B48,Atletas!$J:$P,5,FALSE))</f>
        <v/>
      </c>
      <c r="E48" s="51" t="str">
        <f>IF($B48="","",VLOOKUP($B48,Atletas!$J:$P,6,FALSE))</f>
        <v/>
      </c>
      <c r="F48" s="123"/>
      <c r="G48" s="123"/>
      <c r="H48" s="15" t="str">
        <f>IF(A48="","",IF(VLOOKUP($A48,Atletas!$A:$H,4,FALSE)&lt;&gt;$B$6,VLOOKUP($A48,Atletas!$A:$H,4,FALSE),""))</f>
        <v/>
      </c>
      <c r="I48" s="115" t="str">
        <f>IFERROR(HLOOKUP($I$8,Tab_Din_nome!$A$2:$SK$333,42,0),"")</f>
        <v/>
      </c>
      <c r="J48" s="111" t="str">
        <f>IFERROR(VLOOKUP($I48,Atletas!$J:$P,5,FALSE),"")</f>
        <v/>
      </c>
      <c r="K48" s="58" t="str">
        <f>IFERROR(VLOOKUP($I48,Atletas!$J:$P,2,FALSE),"")</f>
        <v/>
      </c>
      <c r="L48" s="20"/>
      <c r="M48" s="20"/>
      <c r="N48" s="25" t="s">
        <v>47</v>
      </c>
      <c r="P48" s="75" t="s">
        <v>360</v>
      </c>
      <c r="Q48" s="23" t="s">
        <v>166</v>
      </c>
      <c r="R48" s="23" t="s">
        <v>1695</v>
      </c>
    </row>
    <row r="49" spans="1:18" ht="20" customHeight="1">
      <c r="A49" s="54" t="str">
        <f>IF($B49="","",VLOOKUP($B49,Atletas!$J:$P,2,FALSE))</f>
        <v/>
      </c>
      <c r="B49" s="36"/>
      <c r="C49" s="27" t="str">
        <f>IF($B49="","",VLOOKUP($B49,Atletas!$J:$P,4,FALSE))</f>
        <v/>
      </c>
      <c r="D49" s="51" t="str">
        <f>IF($B49="","",VLOOKUP($B49,Atletas!$J:$P,5,FALSE))</f>
        <v/>
      </c>
      <c r="E49" s="51" t="str">
        <f>IF($B49="","",VLOOKUP($B49,Atletas!$J:$P,6,FALSE))</f>
        <v/>
      </c>
      <c r="F49" s="123"/>
      <c r="G49" s="123"/>
      <c r="H49" s="15" t="str">
        <f>IF(A49="","",IF(VLOOKUP($A49,Atletas!$A:$H,4,FALSE)&lt;&gt;$B$6,VLOOKUP($A49,Atletas!$A:$H,4,FALSE),""))</f>
        <v/>
      </c>
      <c r="I49" s="115" t="str">
        <f>IFERROR(HLOOKUP($I$8,Tab_Din_nome!$A$2:$SK$333,43,0),"")</f>
        <v/>
      </c>
      <c r="J49" s="111" t="str">
        <f>IFERROR(VLOOKUP($I49,Atletas!$J:$P,5,FALSE),"")</f>
        <v/>
      </c>
      <c r="K49" s="58" t="str">
        <f>IFERROR(VLOOKUP($I49,Atletas!$J:$P,2,FALSE),"")</f>
        <v/>
      </c>
      <c r="L49" s="20"/>
      <c r="M49" s="20"/>
      <c r="N49" s="25" t="s">
        <v>48</v>
      </c>
      <c r="P49" s="75" t="s">
        <v>361</v>
      </c>
      <c r="Q49" s="23" t="s">
        <v>1079</v>
      </c>
      <c r="R49" s="23" t="s">
        <v>1696</v>
      </c>
    </row>
    <row r="50" spans="1:18" ht="20" customHeight="1">
      <c r="A50" s="54" t="str">
        <f>IF($B50="","",VLOOKUP($B50,Atletas!$J:$P,2,FALSE))</f>
        <v/>
      </c>
      <c r="B50" s="36"/>
      <c r="C50" s="27" t="str">
        <f>IF($B50="","",VLOOKUP($B50,Atletas!$J:$P,4,FALSE))</f>
        <v/>
      </c>
      <c r="D50" s="51" t="str">
        <f>IF($B50="","",VLOOKUP($B50,Atletas!$J:$P,5,FALSE))</f>
        <v/>
      </c>
      <c r="E50" s="51" t="str">
        <f>IF($B50="","",VLOOKUP($B50,Atletas!$J:$P,6,FALSE))</f>
        <v/>
      </c>
      <c r="F50" s="123"/>
      <c r="G50" s="123"/>
      <c r="H50" s="15" t="str">
        <f>IF(A50="","",IF(VLOOKUP($A50,Atletas!$A:$H,4,FALSE)&lt;&gt;$B$6,VLOOKUP($A50,Atletas!$A:$H,4,FALSE),""))</f>
        <v/>
      </c>
      <c r="I50" s="115" t="str">
        <f>IFERROR(HLOOKUP($I$8,Tab_Din_nome!$A$2:$SK$333,44,0),"")</f>
        <v/>
      </c>
      <c r="J50" s="111" t="str">
        <f>IFERROR(VLOOKUP($I50,Atletas!$J:$P,5,FALSE),"")</f>
        <v/>
      </c>
      <c r="K50" s="58" t="str">
        <f>IFERROR(VLOOKUP($I50,Atletas!$J:$P,2,FALSE),"")</f>
        <v/>
      </c>
      <c r="L50" s="20"/>
      <c r="M50" s="20"/>
      <c r="N50" s="25" t="s">
        <v>49</v>
      </c>
      <c r="P50" s="75" t="s">
        <v>362</v>
      </c>
      <c r="Q50" s="23" t="s">
        <v>124</v>
      </c>
      <c r="R50" s="23" t="s">
        <v>1697</v>
      </c>
    </row>
    <row r="51" spans="1:18" ht="20" customHeight="1">
      <c r="A51" s="54" t="str">
        <f>IF($B51="","",VLOOKUP($B51,Atletas!$J:$P,2,FALSE))</f>
        <v/>
      </c>
      <c r="B51" s="36"/>
      <c r="C51" s="27" t="str">
        <f>IF($B51="","",VLOOKUP($B51,Atletas!$J:$P,4,FALSE))</f>
        <v/>
      </c>
      <c r="D51" s="51" t="str">
        <f>IF($B51="","",VLOOKUP($B51,Atletas!$J:$P,5,FALSE))</f>
        <v/>
      </c>
      <c r="E51" s="51" t="str">
        <f>IF($B51="","",VLOOKUP($B51,Atletas!$J:$P,6,FALSE))</f>
        <v/>
      </c>
      <c r="F51" s="123"/>
      <c r="G51" s="123"/>
      <c r="H51" s="15" t="str">
        <f>IF(A51="","",IF(VLOOKUP($A51,Atletas!$A:$H,4,FALSE)&lt;&gt;$B$6,VLOOKUP($A51,Atletas!$A:$H,4,FALSE),""))</f>
        <v/>
      </c>
      <c r="I51" s="115" t="str">
        <f>IFERROR(HLOOKUP($I$8,Tab_Din_nome!$A$2:$SK$333,45,0),"")</f>
        <v/>
      </c>
      <c r="J51" s="111" t="str">
        <f>IFERROR(VLOOKUP($I51,Atletas!$J:$P,5,FALSE),"")</f>
        <v/>
      </c>
      <c r="K51" s="58" t="str">
        <f>IFERROR(VLOOKUP($I51,Atletas!$J:$P,2,FALSE),"")</f>
        <v/>
      </c>
      <c r="L51" s="20"/>
      <c r="M51" s="20"/>
      <c r="N51" s="25"/>
      <c r="P51" s="75" t="s">
        <v>363</v>
      </c>
      <c r="Q51" s="23" t="s">
        <v>1654</v>
      </c>
      <c r="R51" s="23" t="s">
        <v>1698</v>
      </c>
    </row>
    <row r="52" spans="1:18" ht="20" customHeight="1">
      <c r="A52" s="54" t="str">
        <f>IF($B52="","",VLOOKUP($B52,Atletas!$J:$P,2,FALSE))</f>
        <v/>
      </c>
      <c r="B52" s="36"/>
      <c r="C52" s="27" t="str">
        <f>IF($B52="","",VLOOKUP($B52,Atletas!$J:$P,4,FALSE))</f>
        <v/>
      </c>
      <c r="D52" s="51" t="str">
        <f>IF($B52="","",VLOOKUP($B52,Atletas!$J:$P,5,FALSE))</f>
        <v/>
      </c>
      <c r="E52" s="51" t="str">
        <f>IF($B52="","",VLOOKUP($B52,Atletas!$J:$P,6,FALSE))</f>
        <v/>
      </c>
      <c r="F52" s="123"/>
      <c r="G52" s="123"/>
      <c r="H52" s="15" t="str">
        <f>IF(A52="","",IF(VLOOKUP($A52,Atletas!$A:$H,4,FALSE)&lt;&gt;$B$6,VLOOKUP($A52,Atletas!$A:$H,4,FALSE),""))</f>
        <v/>
      </c>
      <c r="I52" s="115" t="str">
        <f>IFERROR(HLOOKUP($I$8,Tab_Din_nome!$A$2:$SK$333,46,0),"")</f>
        <v/>
      </c>
      <c r="J52" s="111" t="str">
        <f>IFERROR(VLOOKUP($I52,Atletas!$J:$P,5,FALSE),"")</f>
        <v/>
      </c>
      <c r="K52" s="58" t="str">
        <f>IFERROR(VLOOKUP($I52,Atletas!$J:$P,2,FALSE),"")</f>
        <v/>
      </c>
      <c r="L52" s="20"/>
      <c r="M52" s="20"/>
      <c r="N52" s="25" t="s">
        <v>50</v>
      </c>
      <c r="P52" s="75" t="s">
        <v>364</v>
      </c>
      <c r="Q52" s="23" t="s">
        <v>959</v>
      </c>
      <c r="R52" s="23" t="s">
        <v>1699</v>
      </c>
    </row>
    <row r="53" spans="1:18" ht="20" customHeight="1">
      <c r="A53" s="54" t="str">
        <f>IF($B53="","",VLOOKUP($B53,Atletas!$J:$P,2,FALSE))</f>
        <v/>
      </c>
      <c r="B53" s="36"/>
      <c r="C53" s="27" t="str">
        <f>IF($B53="","",VLOOKUP($B53,Atletas!$J:$P,4,FALSE))</f>
        <v/>
      </c>
      <c r="D53" s="51" t="str">
        <f>IF($B53="","",VLOOKUP($B53,Atletas!$J:$P,5,FALSE))</f>
        <v/>
      </c>
      <c r="E53" s="51" t="str">
        <f>IF($B53="","",VLOOKUP($B53,Atletas!$J:$P,6,FALSE))</f>
        <v/>
      </c>
      <c r="F53" s="123"/>
      <c r="G53" s="123"/>
      <c r="H53" s="15" t="str">
        <f>IF(A53="","",IF(VLOOKUP($A53,Atletas!$A:$H,4,FALSE)&lt;&gt;$B$6,VLOOKUP($A53,Atletas!$A:$H,4,FALSE),""))</f>
        <v/>
      </c>
      <c r="I53" s="115" t="str">
        <f>IFERROR(HLOOKUP($I$8,Tab_Din_nome!$A$2:$SK$333,47,0),"")</f>
        <v/>
      </c>
      <c r="J53" s="111" t="str">
        <f>IFERROR(VLOOKUP($I53,Atletas!$J:$P,5,FALSE),"")</f>
        <v/>
      </c>
      <c r="K53" s="58" t="str">
        <f>IFERROR(VLOOKUP($I53,Atletas!$J:$P,2,FALSE),"")</f>
        <v/>
      </c>
      <c r="L53" s="20"/>
      <c r="M53" s="20"/>
      <c r="N53" s="25" t="s">
        <v>51</v>
      </c>
      <c r="P53" s="75" t="s">
        <v>365</v>
      </c>
      <c r="Q53" s="23" t="s">
        <v>1240</v>
      </c>
      <c r="R53" s="23" t="s">
        <v>1700</v>
      </c>
    </row>
    <row r="54" spans="1:18" ht="20" customHeight="1">
      <c r="A54" s="54" t="str">
        <f>IF($B54="","",VLOOKUP($B54,Atletas!$J:$P,2,FALSE))</f>
        <v/>
      </c>
      <c r="B54" s="36"/>
      <c r="C54" s="27" t="str">
        <f>IF($B54="","",VLOOKUP($B54,Atletas!$J:$P,4,FALSE))</f>
        <v/>
      </c>
      <c r="D54" s="51" t="str">
        <f>IF($B54="","",VLOOKUP($B54,Atletas!$J:$P,5,FALSE))</f>
        <v/>
      </c>
      <c r="E54" s="51" t="str">
        <f>IF($B54="","",VLOOKUP($B54,Atletas!$J:$P,6,FALSE))</f>
        <v/>
      </c>
      <c r="F54" s="123"/>
      <c r="G54" s="123"/>
      <c r="H54" s="15" t="str">
        <f>IF(A54="","",IF(VLOOKUP($A54,Atletas!$A:$H,4,FALSE)&lt;&gt;$B$6,VLOOKUP($A54,Atletas!$A:$H,4,FALSE),""))</f>
        <v/>
      </c>
      <c r="I54" s="115" t="str">
        <f>IFERROR(HLOOKUP($I$8,Tab_Din_nome!$A$2:$SK$333,48,0),"")</f>
        <v/>
      </c>
      <c r="J54" s="111" t="str">
        <f>IFERROR(VLOOKUP($I54,Atletas!$J:$P,5,FALSE),"")</f>
        <v/>
      </c>
      <c r="K54" s="58" t="str">
        <f>IFERROR(VLOOKUP($I54,Atletas!$J:$P,2,FALSE),"")</f>
        <v/>
      </c>
      <c r="L54" s="20"/>
      <c r="M54" s="20"/>
      <c r="N54" s="25" t="s">
        <v>52</v>
      </c>
      <c r="P54" s="75" t="s">
        <v>366</v>
      </c>
      <c r="Q54" s="23" t="s">
        <v>125</v>
      </c>
      <c r="R54" s="23" t="s">
        <v>1701</v>
      </c>
    </row>
    <row r="55" spans="1:18" ht="20" customHeight="1">
      <c r="A55" s="54" t="str">
        <f>IF($B55="","",VLOOKUP($B55,Atletas!$J:$P,2,FALSE))</f>
        <v/>
      </c>
      <c r="B55" s="36"/>
      <c r="C55" s="27" t="str">
        <f>IF($B55="","",VLOOKUP($B55,Atletas!$J:$P,4,FALSE))</f>
        <v/>
      </c>
      <c r="D55" s="51" t="str">
        <f>IF($B55="","",VLOOKUP($B55,Atletas!$J:$P,5,FALSE))</f>
        <v/>
      </c>
      <c r="E55" s="51" t="str">
        <f>IF($B55="","",VLOOKUP($B55,Atletas!$J:$P,6,FALSE))</f>
        <v/>
      </c>
      <c r="F55" s="123"/>
      <c r="G55" s="123"/>
      <c r="H55" s="15" t="str">
        <f>IF(A55="","",IF(VLOOKUP($A55,Atletas!$A:$H,4,FALSE)&lt;&gt;$B$6,VLOOKUP($A55,Atletas!$A:$H,4,FALSE),""))</f>
        <v/>
      </c>
      <c r="I55" s="115" t="str">
        <f>IFERROR(HLOOKUP($I$8,Tab_Din_nome!$A$2:$SK$333,49,0),"")</f>
        <v/>
      </c>
      <c r="J55" s="111" t="str">
        <f>IFERROR(VLOOKUP($I55,Atletas!$J:$P,5,FALSE),"")</f>
        <v/>
      </c>
      <c r="K55" s="58" t="str">
        <f>IFERROR(VLOOKUP($I55,Atletas!$J:$P,2,FALSE),"")</f>
        <v/>
      </c>
      <c r="L55" s="20"/>
      <c r="M55" s="20"/>
      <c r="N55" s="25" t="s">
        <v>53</v>
      </c>
      <c r="P55" s="75" t="s">
        <v>367</v>
      </c>
      <c r="Q55" s="23" t="s">
        <v>1241</v>
      </c>
      <c r="R55" s="23" t="s">
        <v>1702</v>
      </c>
    </row>
    <row r="56" spans="1:18" ht="20" customHeight="1">
      <c r="A56" s="54" t="str">
        <f>IF($B56="","",VLOOKUP($B56,Atletas!$J:$P,2,FALSE))</f>
        <v/>
      </c>
      <c r="B56" s="36"/>
      <c r="C56" s="27" t="str">
        <f>IF($B56="","",VLOOKUP($B56,Atletas!$J:$P,4,FALSE))</f>
        <v/>
      </c>
      <c r="D56" s="51" t="str">
        <f>IF($B56="","",VLOOKUP($B56,Atletas!$J:$P,5,FALSE))</f>
        <v/>
      </c>
      <c r="E56" s="51" t="str">
        <f>IF($B56="","",VLOOKUP($B56,Atletas!$J:$P,6,FALSE))</f>
        <v/>
      </c>
      <c r="F56" s="123"/>
      <c r="G56" s="123"/>
      <c r="H56" s="15" t="str">
        <f>IF(A56="","",IF(VLOOKUP($A56,Atletas!$A:$H,4,FALSE)&lt;&gt;$B$6,VLOOKUP($A56,Atletas!$A:$H,4,FALSE),""))</f>
        <v/>
      </c>
      <c r="I56" s="115" t="str">
        <f>IFERROR(HLOOKUP($I$8,Tab_Din_nome!$A$2:$SK$333,50,0),"")</f>
        <v/>
      </c>
      <c r="J56" s="111" t="str">
        <f>IFERROR(VLOOKUP($I56,Atletas!$J:$P,5,FALSE),"")</f>
        <v/>
      </c>
      <c r="K56" s="58" t="str">
        <f>IFERROR(VLOOKUP($I56,Atletas!$J:$P,2,FALSE),"")</f>
        <v/>
      </c>
      <c r="L56" s="20"/>
      <c r="M56" s="20"/>
      <c r="N56" s="25" t="s">
        <v>54</v>
      </c>
      <c r="P56" s="75" t="s">
        <v>368</v>
      </c>
      <c r="Q56" s="23" t="s">
        <v>148</v>
      </c>
      <c r="R56" s="23" t="s">
        <v>1703</v>
      </c>
    </row>
    <row r="57" spans="1:18" ht="20" customHeight="1">
      <c r="A57" s="54" t="str">
        <f>IF($B57="","",VLOOKUP($B57,Atletas!$J:$P,2,FALSE))</f>
        <v/>
      </c>
      <c r="B57" s="36"/>
      <c r="C57" s="27" t="str">
        <f>IF($B57="","",VLOOKUP($B57,Atletas!$J:$P,4,FALSE))</f>
        <v/>
      </c>
      <c r="D57" s="51" t="str">
        <f>IF($B57="","",VLOOKUP($B57,Atletas!$J:$P,5,FALSE))</f>
        <v/>
      </c>
      <c r="E57" s="51" t="str">
        <f>IF($B57="","",VLOOKUP($B57,Atletas!$J:$P,6,FALSE))</f>
        <v/>
      </c>
      <c r="F57" s="123"/>
      <c r="G57" s="123"/>
      <c r="H57" s="15" t="str">
        <f>IF(A57="","",IF(VLOOKUP($A57,Atletas!$A:$H,4,FALSE)&lt;&gt;$B$6,VLOOKUP($A57,Atletas!$A:$H,4,FALSE),""))</f>
        <v/>
      </c>
      <c r="I57" s="115" t="str">
        <f>IFERROR(HLOOKUP($I$8,Tab_Din_nome!$A$2:$SK$333,51,0),"")</f>
        <v/>
      </c>
      <c r="J57" s="111" t="str">
        <f>IFERROR(VLOOKUP($I57,Atletas!$J:$P,5,FALSE),"")</f>
        <v/>
      </c>
      <c r="K57" s="58" t="str">
        <f>IFERROR(VLOOKUP($I57,Atletas!$J:$P,2,FALSE),"")</f>
        <v/>
      </c>
      <c r="L57" s="20"/>
      <c r="M57" s="20"/>
      <c r="N57" s="25"/>
      <c r="P57" s="75" t="s">
        <v>369</v>
      </c>
      <c r="Q57" s="23" t="s">
        <v>721</v>
      </c>
      <c r="R57" s="23" t="s">
        <v>1704</v>
      </c>
    </row>
    <row r="58" spans="1:18" ht="20" customHeight="1">
      <c r="A58" s="54" t="str">
        <f>IF($B58="","",VLOOKUP($B58,Atletas!$J:$P,2,FALSE))</f>
        <v/>
      </c>
      <c r="B58" s="36"/>
      <c r="C58" s="27" t="str">
        <f>IF($B58="","",VLOOKUP($B58,Atletas!$J:$P,4,FALSE))</f>
        <v/>
      </c>
      <c r="D58" s="51" t="str">
        <f>IF($B58="","",VLOOKUP($B58,Atletas!$J:$P,5,FALSE))</f>
        <v/>
      </c>
      <c r="E58" s="51" t="str">
        <f>IF($B58="","",VLOOKUP($B58,Atletas!$J:$P,6,FALSE))</f>
        <v/>
      </c>
      <c r="F58" s="123"/>
      <c r="G58" s="123"/>
      <c r="H58" s="15" t="str">
        <f>IF(A58="","",IF(VLOOKUP($A58,Atletas!$A:$H,4,FALSE)&lt;&gt;$B$6,VLOOKUP($A58,Atletas!$A:$H,4,FALSE),""))</f>
        <v/>
      </c>
      <c r="I58" s="115" t="str">
        <f>IFERROR(HLOOKUP($I$8,Tab_Din_nome!$A$2:$SK$333,52,0),"")</f>
        <v/>
      </c>
      <c r="J58" s="111" t="str">
        <f>IFERROR(VLOOKUP($I58,Atletas!$J:$P,5,FALSE),"")</f>
        <v/>
      </c>
      <c r="K58" s="58" t="str">
        <f>IFERROR(VLOOKUP($I58,Atletas!$J:$P,2,FALSE),"")</f>
        <v/>
      </c>
      <c r="L58" s="20"/>
      <c r="M58" s="20"/>
      <c r="N58" s="25" t="s">
        <v>84</v>
      </c>
      <c r="P58" s="75" t="s">
        <v>370</v>
      </c>
      <c r="Q58" s="23" t="s">
        <v>893</v>
      </c>
      <c r="R58" s="23" t="s">
        <v>1705</v>
      </c>
    </row>
    <row r="59" spans="1:18" ht="20" customHeight="1">
      <c r="A59" s="54" t="str">
        <f>IF($B59="","",VLOOKUP($B59,Atletas!$J:$P,2,FALSE))</f>
        <v/>
      </c>
      <c r="B59" s="36"/>
      <c r="C59" s="27" t="str">
        <f>IF($B59="","",VLOOKUP($B59,Atletas!$J:$P,4,FALSE))</f>
        <v/>
      </c>
      <c r="D59" s="51" t="str">
        <f>IF($B59="","",VLOOKUP($B59,Atletas!$J:$P,5,FALSE))</f>
        <v/>
      </c>
      <c r="E59" s="51" t="str">
        <f>IF($B59="","",VLOOKUP($B59,Atletas!$J:$P,6,FALSE))</f>
        <v/>
      </c>
      <c r="F59" s="123"/>
      <c r="G59" s="123"/>
      <c r="H59" s="15" t="str">
        <f>IF(A59="","",IF(VLOOKUP($A59,Atletas!$A:$H,4,FALSE)&lt;&gt;$B$6,VLOOKUP($A59,Atletas!$A:$H,4,FALSE),""))</f>
        <v/>
      </c>
      <c r="I59" s="115" t="str">
        <f>IFERROR(HLOOKUP($I$8,Tab_Din_nome!$A$2:$SK$333,53,0),"")</f>
        <v/>
      </c>
      <c r="J59" s="111" t="str">
        <f>IFERROR(VLOOKUP($I59,Atletas!$J:$P,5,FALSE),"")</f>
        <v/>
      </c>
      <c r="K59" s="58" t="str">
        <f>IFERROR(VLOOKUP($I59,Atletas!$J:$P,2,FALSE),"")</f>
        <v/>
      </c>
      <c r="L59" s="20"/>
      <c r="M59" s="20"/>
      <c r="N59" s="25" t="s">
        <v>85</v>
      </c>
      <c r="P59" s="75" t="s">
        <v>379</v>
      </c>
      <c r="Q59" s="23" t="s">
        <v>90</v>
      </c>
      <c r="R59" s="23" t="s">
        <v>1706</v>
      </c>
    </row>
    <row r="60" spans="1:18" ht="20" customHeight="1">
      <c r="A60" s="54" t="str">
        <f>IF($B60="","",VLOOKUP($B60,Atletas!$J:$P,2,FALSE))</f>
        <v/>
      </c>
      <c r="B60" s="36"/>
      <c r="C60" s="27" t="str">
        <f>IF($B60="","",VLOOKUP($B60,Atletas!$J:$P,4,FALSE))</f>
        <v/>
      </c>
      <c r="D60" s="51" t="str">
        <f>IF($B60="","",VLOOKUP($B60,Atletas!$J:$P,5,FALSE))</f>
        <v/>
      </c>
      <c r="E60" s="51" t="str">
        <f>IF($B60="","",VLOOKUP($B60,Atletas!$J:$P,6,FALSE))</f>
        <v/>
      </c>
      <c r="F60" s="123"/>
      <c r="G60" s="123"/>
      <c r="H60" s="15" t="str">
        <f>IF(A60="","",IF(VLOOKUP($A60,Atletas!$A:$H,4,FALSE)&lt;&gt;$B$6,VLOOKUP($A60,Atletas!$A:$H,4,FALSE),""))</f>
        <v/>
      </c>
      <c r="I60" s="115" t="str">
        <f>IFERROR(HLOOKUP($I$8,Tab_Din_nome!$A$2:$SK$333,54,0),"")</f>
        <v/>
      </c>
      <c r="J60" s="111" t="str">
        <f>IFERROR(VLOOKUP($I60,Atletas!$J:$P,5,FALSE),"")</f>
        <v/>
      </c>
      <c r="K60" s="58" t="str">
        <f>IFERROR(VLOOKUP($I60,Atletas!$J:$P,2,FALSE),"")</f>
        <v/>
      </c>
      <c r="L60" s="20"/>
      <c r="M60" s="20"/>
      <c r="N60" s="25" t="s">
        <v>86</v>
      </c>
      <c r="P60" s="75" t="s">
        <v>772</v>
      </c>
      <c r="Q60" s="23" t="s">
        <v>151</v>
      </c>
      <c r="R60" s="23" t="s">
        <v>1707</v>
      </c>
    </row>
    <row r="61" spans="1:18" ht="20" customHeight="1">
      <c r="A61" s="54" t="str">
        <f>IF($B61="","",VLOOKUP($B61,Atletas!$J:$P,2,FALSE))</f>
        <v/>
      </c>
      <c r="B61" s="36"/>
      <c r="C61" s="27" t="str">
        <f>IF($B61="","",VLOOKUP($B61,Atletas!$J:$P,4,FALSE))</f>
        <v/>
      </c>
      <c r="D61" s="51" t="str">
        <f>IF($B61="","",VLOOKUP($B61,Atletas!$J:$P,5,FALSE))</f>
        <v/>
      </c>
      <c r="E61" s="51" t="str">
        <f>IF($B61="","",VLOOKUP($B61,Atletas!$J:$P,6,FALSE))</f>
        <v/>
      </c>
      <c r="F61" s="123"/>
      <c r="G61" s="123"/>
      <c r="H61" s="15" t="str">
        <f>IF(A61="","",IF(VLOOKUP($A61,Atletas!$A:$H,4,FALSE)&lt;&gt;$B$6,VLOOKUP($A61,Atletas!$A:$H,4,FALSE),""))</f>
        <v/>
      </c>
      <c r="I61" s="115" t="str">
        <f>IFERROR(HLOOKUP($I$8,Tab_Din_nome!$A$2:$SK$333,55,0),"")</f>
        <v/>
      </c>
      <c r="J61" s="111" t="str">
        <f>IFERROR(VLOOKUP($I61,Atletas!$J:$P,5,FALSE),"")</f>
        <v/>
      </c>
      <c r="K61" s="58" t="str">
        <f>IFERROR(VLOOKUP($I61,Atletas!$J:$P,2,FALSE),"")</f>
        <v/>
      </c>
      <c r="L61" s="20"/>
      <c r="M61" s="20"/>
      <c r="N61" s="25" t="s">
        <v>87</v>
      </c>
      <c r="P61" s="75" t="s">
        <v>773</v>
      </c>
      <c r="Q61" s="23" t="s">
        <v>149</v>
      </c>
      <c r="R61" s="23" t="s">
        <v>1708</v>
      </c>
    </row>
    <row r="62" spans="1:18" ht="20" customHeight="1">
      <c r="A62" s="54" t="str">
        <f>IF($B62="","",VLOOKUP($B62,Atletas!$J:$P,2,FALSE))</f>
        <v/>
      </c>
      <c r="B62" s="36"/>
      <c r="C62" s="27" t="str">
        <f>IF($B62="","",VLOOKUP($B62,Atletas!$J:$P,4,FALSE))</f>
        <v/>
      </c>
      <c r="D62" s="51" t="str">
        <f>IF($B62="","",VLOOKUP($B62,Atletas!$J:$P,5,FALSE))</f>
        <v/>
      </c>
      <c r="E62" s="51" t="str">
        <f>IF($B62="","",VLOOKUP($B62,Atletas!$J:$P,6,FALSE))</f>
        <v/>
      </c>
      <c r="F62" s="123"/>
      <c r="G62" s="123"/>
      <c r="H62" s="15" t="str">
        <f>IF(A62="","",IF(VLOOKUP($A62,Atletas!$A:$H,4,FALSE)&lt;&gt;$B$6,VLOOKUP($A62,Atletas!$A:$H,4,FALSE),""))</f>
        <v/>
      </c>
      <c r="I62" s="115" t="str">
        <f>IFERROR(HLOOKUP($I$8,Tab_Din_nome!$A$2:$SK$333,56,0),"")</f>
        <v/>
      </c>
      <c r="J62" s="111" t="str">
        <f>IFERROR(VLOOKUP($I62,Atletas!$J:$P,5,FALSE),"")</f>
        <v/>
      </c>
      <c r="K62" s="58" t="str">
        <f>IFERROR(VLOOKUP($I62,Atletas!$J:$P,2,FALSE),"")</f>
        <v/>
      </c>
      <c r="L62" s="20"/>
      <c r="M62" s="20"/>
      <c r="N62" s="25"/>
      <c r="P62" s="75" t="s">
        <v>774</v>
      </c>
      <c r="Q62" s="23" t="s">
        <v>168</v>
      </c>
      <c r="R62" s="23" t="s">
        <v>1709</v>
      </c>
    </row>
    <row r="63" spans="1:18" ht="20" customHeight="1">
      <c r="A63" s="54" t="str">
        <f>IF($B63="","",VLOOKUP($B63,Atletas!$J:$P,2,FALSE))</f>
        <v/>
      </c>
      <c r="B63" s="36"/>
      <c r="C63" s="27" t="str">
        <f>IF($B63="","",VLOOKUP($B63,Atletas!$J:$P,4,FALSE))</f>
        <v/>
      </c>
      <c r="D63" s="51" t="str">
        <f>IF($B63="","",VLOOKUP($B63,Atletas!$J:$P,5,FALSE))</f>
        <v/>
      </c>
      <c r="E63" s="51" t="str">
        <f>IF($B63="","",VLOOKUP($B63,Atletas!$J:$P,6,FALSE))</f>
        <v/>
      </c>
      <c r="F63" s="123"/>
      <c r="G63" s="123"/>
      <c r="H63" s="15" t="str">
        <f>IF(A63="","",IF(VLOOKUP($A63,Atletas!$A:$H,4,FALSE)&lt;&gt;$B$6,VLOOKUP($A63,Atletas!$A:$H,4,FALSE),""))</f>
        <v/>
      </c>
      <c r="I63" s="115" t="str">
        <f>IFERROR(HLOOKUP($I$8,Tab_Din_nome!$A$2:$SK$333,57,0),"")</f>
        <v/>
      </c>
      <c r="J63" s="111" t="str">
        <f>IFERROR(VLOOKUP($I63,Atletas!$J:$P,5,FALSE),"")</f>
        <v/>
      </c>
      <c r="K63" s="58" t="str">
        <f>IFERROR(VLOOKUP($I63,Atletas!$J:$P,2,FALSE),"")</f>
        <v/>
      </c>
      <c r="L63" s="20"/>
      <c r="M63" s="20"/>
      <c r="N63" s="25" t="s">
        <v>55</v>
      </c>
      <c r="P63" s="75" t="s">
        <v>775</v>
      </c>
      <c r="Q63" s="23" t="s">
        <v>706</v>
      </c>
      <c r="R63" s="23" t="s">
        <v>1710</v>
      </c>
    </row>
    <row r="64" spans="1:18" ht="20" customHeight="1">
      <c r="A64" s="54" t="str">
        <f>IF($B64="","",VLOOKUP($B64,Atletas!$J:$P,2,FALSE))</f>
        <v/>
      </c>
      <c r="B64" s="36"/>
      <c r="C64" s="27" t="str">
        <f>IF($B64="","",VLOOKUP($B64,Atletas!$J:$P,4,FALSE))</f>
        <v/>
      </c>
      <c r="D64" s="51" t="str">
        <f>IF($B64="","",VLOOKUP($B64,Atletas!$J:$P,5,FALSE))</f>
        <v/>
      </c>
      <c r="E64" s="51" t="str">
        <f>IF($B64="","",VLOOKUP($B64,Atletas!$J:$P,6,FALSE))</f>
        <v/>
      </c>
      <c r="F64" s="123"/>
      <c r="G64" s="123"/>
      <c r="H64" s="15" t="str">
        <f>IF(A64="","",IF(VLOOKUP($A64,Atletas!$A:$H,4,FALSE)&lt;&gt;$B$6,VLOOKUP($A64,Atletas!$A:$H,4,FALSE),""))</f>
        <v/>
      </c>
      <c r="I64" s="115" t="str">
        <f>IFERROR(HLOOKUP($I$8,Tab_Din_nome!$A$2:$SK$333,58,0),"")</f>
        <v/>
      </c>
      <c r="J64" s="111" t="str">
        <f>IFERROR(VLOOKUP($I64,Atletas!$J:$P,5,FALSE),"")</f>
        <v/>
      </c>
      <c r="K64" s="58" t="str">
        <f>IFERROR(VLOOKUP($I64,Atletas!$J:$P,2,FALSE),"")</f>
        <v/>
      </c>
      <c r="L64" s="20"/>
      <c r="M64" s="20"/>
      <c r="N64" s="25" t="s">
        <v>56</v>
      </c>
      <c r="P64" s="75" t="s">
        <v>776</v>
      </c>
      <c r="Q64" s="23" t="s">
        <v>956</v>
      </c>
      <c r="R64" s="23" t="s">
        <v>1711</v>
      </c>
    </row>
    <row r="65" spans="1:18" ht="20" customHeight="1">
      <c r="A65" s="54" t="str">
        <f>IF($B65="","",VLOOKUP($B65,Atletas!$J:$P,2,FALSE))</f>
        <v/>
      </c>
      <c r="B65" s="36"/>
      <c r="C65" s="27" t="str">
        <f>IF($B65="","",VLOOKUP($B65,Atletas!$J:$P,4,FALSE))</f>
        <v/>
      </c>
      <c r="D65" s="51" t="str">
        <f>IF($B65="","",VLOOKUP($B65,Atletas!$J:$P,5,FALSE))</f>
        <v/>
      </c>
      <c r="E65" s="51" t="str">
        <f>IF($B65="","",VLOOKUP($B65,Atletas!$J:$P,6,FALSE))</f>
        <v/>
      </c>
      <c r="F65" s="123"/>
      <c r="G65" s="123"/>
      <c r="H65" s="15" t="str">
        <f>IF(A65="","",IF(VLOOKUP($A65,Atletas!$A:$H,4,FALSE)&lt;&gt;$B$6,VLOOKUP($A65,Atletas!$A:$H,4,FALSE),""))</f>
        <v/>
      </c>
      <c r="I65" s="115" t="str">
        <f>IFERROR(HLOOKUP($I$8,Tab_Din_nome!$A$2:$SK$333,59,0),"")</f>
        <v/>
      </c>
      <c r="J65" s="111" t="str">
        <f>IFERROR(VLOOKUP($I65,Atletas!$J:$P,5,FALSE),"")</f>
        <v/>
      </c>
      <c r="K65" s="58" t="str">
        <f>IFERROR(VLOOKUP($I65,Atletas!$J:$P,2,FALSE),"")</f>
        <v/>
      </c>
      <c r="L65" s="20"/>
      <c r="M65" s="20"/>
      <c r="N65" s="25" t="s">
        <v>57</v>
      </c>
      <c r="P65" s="75" t="s">
        <v>1245</v>
      </c>
      <c r="Q65" s="23" t="s">
        <v>1242</v>
      </c>
      <c r="R65" s="23" t="s">
        <v>1712</v>
      </c>
    </row>
    <row r="66" spans="1:18" ht="20" customHeight="1">
      <c r="A66" s="54" t="str">
        <f>IF($B66="","",VLOOKUP($B66,Atletas!$J:$P,2,FALSE))</f>
        <v/>
      </c>
      <c r="B66" s="36"/>
      <c r="C66" s="27" t="str">
        <f>IF($B66="","",VLOOKUP($B66,Atletas!$J:$P,4,FALSE))</f>
        <v/>
      </c>
      <c r="D66" s="51" t="str">
        <f>IF($B66="","",VLOOKUP($B66,Atletas!$J:$P,5,FALSE))</f>
        <v/>
      </c>
      <c r="E66" s="51" t="str">
        <f>IF($B66="","",VLOOKUP($B66,Atletas!$J:$P,6,FALSE))</f>
        <v/>
      </c>
      <c r="F66" s="123"/>
      <c r="G66" s="123"/>
      <c r="H66" s="15" t="str">
        <f>IF(A66="","",IF(VLOOKUP($A66,Atletas!$A:$H,4,FALSE)&lt;&gt;$B$6,VLOOKUP($A66,Atletas!$A:$H,4,FALSE),""))</f>
        <v/>
      </c>
      <c r="I66" s="115" t="str">
        <f>IFERROR(HLOOKUP($I$8,Tab_Din_nome!$A$2:$SK$333,60,0),"")</f>
        <v/>
      </c>
      <c r="J66" s="111" t="str">
        <f>IFERROR(VLOOKUP($I66,Atletas!$J:$P,5,FALSE),"")</f>
        <v/>
      </c>
      <c r="K66" s="58" t="str">
        <f>IFERROR(VLOOKUP($I66,Atletas!$J:$P,2,FALSE),"")</f>
        <v/>
      </c>
      <c r="L66" s="20"/>
      <c r="M66" s="20"/>
      <c r="N66" s="25" t="s">
        <v>371</v>
      </c>
      <c r="P66" s="75" t="s">
        <v>1246</v>
      </c>
      <c r="Q66" s="23" t="s">
        <v>147</v>
      </c>
      <c r="R66" s="23" t="s">
        <v>1713</v>
      </c>
    </row>
    <row r="67" spans="1:18" ht="20" customHeight="1">
      <c r="A67" s="54" t="str">
        <f>IF($B67="","",VLOOKUP($B67,Atletas!$J:$P,2,FALSE))</f>
        <v/>
      </c>
      <c r="B67" s="36"/>
      <c r="C67" s="27" t="str">
        <f>IF($B67="","",VLOOKUP($B67,Atletas!$J:$P,4,FALSE))</f>
        <v/>
      </c>
      <c r="D67" s="51" t="str">
        <f>IF($B67="","",VLOOKUP($B67,Atletas!$J:$P,5,FALSE))</f>
        <v/>
      </c>
      <c r="E67" s="51" t="str">
        <f>IF($B67="","",VLOOKUP($B67,Atletas!$J:$P,6,FALSE))</f>
        <v/>
      </c>
      <c r="F67" s="123"/>
      <c r="G67" s="123"/>
      <c r="H67" s="15" t="str">
        <f>IF(A67="","",IF(VLOOKUP($A67,Atletas!$A:$H,4,FALSE)&lt;&gt;$B$6,VLOOKUP($A67,Atletas!$A:$H,4,FALSE),""))</f>
        <v/>
      </c>
      <c r="I67" s="115" t="str">
        <f>IFERROR(HLOOKUP($I$8,Tab_Din_nome!$A$2:$SK$333,61,0),"")</f>
        <v/>
      </c>
      <c r="J67" s="111" t="str">
        <f>IFERROR(VLOOKUP($I67,Atletas!$J:$P,5,FALSE),"")</f>
        <v/>
      </c>
      <c r="K67" s="58" t="str">
        <f>IFERROR(VLOOKUP($I67,Atletas!$J:$P,2,FALSE),"")</f>
        <v/>
      </c>
      <c r="L67" s="20"/>
      <c r="M67" s="20"/>
      <c r="N67" s="25" t="s">
        <v>767</v>
      </c>
      <c r="P67" s="75" t="s">
        <v>1247</v>
      </c>
      <c r="Q67" s="23" t="s">
        <v>408</v>
      </c>
      <c r="R67" s="23" t="s">
        <v>1714</v>
      </c>
    </row>
    <row r="68" spans="1:18" ht="20" customHeight="1">
      <c r="A68" s="54" t="str">
        <f>IF($B68="","",VLOOKUP($B68,Atletas!$J:$P,2,FALSE))</f>
        <v/>
      </c>
      <c r="B68" s="36"/>
      <c r="C68" s="27" t="str">
        <f>IF($B68="","",VLOOKUP($B68,Atletas!$J:$P,4,FALSE))</f>
        <v/>
      </c>
      <c r="D68" s="51" t="str">
        <f>IF($B68="","",VLOOKUP($B68,Atletas!$J:$P,5,FALSE))</f>
        <v/>
      </c>
      <c r="E68" s="51" t="str">
        <f>IF($B68="","",VLOOKUP($B68,Atletas!$J:$P,6,FALSE))</f>
        <v/>
      </c>
      <c r="F68" s="123"/>
      <c r="G68" s="123"/>
      <c r="H68" s="15" t="str">
        <f>IF(A68="","",IF(VLOOKUP($A68,Atletas!$A:$H,4,FALSE)&lt;&gt;$B$6,VLOOKUP($A68,Atletas!$A:$H,4,FALSE),""))</f>
        <v/>
      </c>
      <c r="I68" s="115" t="str">
        <f>IFERROR(HLOOKUP($I$8,Tab_Din_nome!$A$2:$SK$333,62,0),"")</f>
        <v/>
      </c>
      <c r="J68" s="111" t="str">
        <f>IFERROR(VLOOKUP($I68,Atletas!$J:$P,5,FALSE),"")</f>
        <v/>
      </c>
      <c r="K68" s="58" t="str">
        <f>IFERROR(VLOOKUP($I68,Atletas!$J:$P,2,FALSE),"")</f>
        <v/>
      </c>
      <c r="L68" s="20"/>
      <c r="M68" s="20"/>
      <c r="N68" s="25" t="s">
        <v>766</v>
      </c>
      <c r="P68" s="75" t="s">
        <v>1248</v>
      </c>
      <c r="Q68" s="23" t="s">
        <v>433</v>
      </c>
      <c r="R68" s="23" t="s">
        <v>1715</v>
      </c>
    </row>
    <row r="69" spans="1:18" ht="20" customHeight="1">
      <c r="A69" s="54" t="str">
        <f>IF($B69="","",VLOOKUP($B69,Atletas!$J:$P,2,FALSE))</f>
        <v/>
      </c>
      <c r="B69" s="36"/>
      <c r="C69" s="27" t="str">
        <f>IF($B69="","",VLOOKUP($B69,Atletas!$J:$P,4,FALSE))</f>
        <v/>
      </c>
      <c r="D69" s="51" t="str">
        <f>IF($B69="","",VLOOKUP($B69,Atletas!$J:$P,5,FALSE))</f>
        <v/>
      </c>
      <c r="E69" s="51" t="str">
        <f>IF($B69="","",VLOOKUP($B69,Atletas!$J:$P,6,FALSE))</f>
        <v/>
      </c>
      <c r="F69" s="123"/>
      <c r="G69" s="123"/>
      <c r="H69" s="15" t="str">
        <f>IF(A69="","",IF(VLOOKUP($A69,Atletas!$A:$H,4,FALSE)&lt;&gt;$B$6,VLOOKUP($A69,Atletas!$A:$H,4,FALSE),""))</f>
        <v/>
      </c>
      <c r="I69" s="115" t="str">
        <f>IFERROR(HLOOKUP($I$8,Tab_Din_nome!$A$2:$SK$333,63,0),"")</f>
        <v/>
      </c>
      <c r="J69" s="111" t="str">
        <f>IFERROR(VLOOKUP($I69,Atletas!$J:$P,5,FALSE),"")</f>
        <v/>
      </c>
      <c r="K69" s="58" t="str">
        <f>IFERROR(VLOOKUP($I69,Atletas!$J:$P,2,FALSE),"")</f>
        <v/>
      </c>
      <c r="L69" s="20"/>
      <c r="M69" s="20"/>
      <c r="N69" s="25" t="s">
        <v>768</v>
      </c>
      <c r="P69" s="75" t="s">
        <v>1249</v>
      </c>
      <c r="Q69" s="23" t="s">
        <v>671</v>
      </c>
      <c r="R69" s="23" t="s">
        <v>1716</v>
      </c>
    </row>
    <row r="70" spans="1:18" ht="20" customHeight="1">
      <c r="A70" s="54" t="str">
        <f>IF($B70="","",VLOOKUP($B70,Atletas!$J:$P,2,FALSE))</f>
        <v/>
      </c>
      <c r="B70" s="36"/>
      <c r="C70" s="27" t="str">
        <f>IF($B70="","",VLOOKUP($B70,Atletas!$J:$P,4,FALSE))</f>
        <v/>
      </c>
      <c r="D70" s="51" t="str">
        <f>IF($B70="","",VLOOKUP($B70,Atletas!$J:$P,5,FALSE))</f>
        <v/>
      </c>
      <c r="E70" s="51" t="str">
        <f>IF($B70="","",VLOOKUP($B70,Atletas!$J:$P,6,FALSE))</f>
        <v/>
      </c>
      <c r="F70" s="123"/>
      <c r="G70" s="123"/>
      <c r="H70" s="15" t="str">
        <f>IF(A70="","",IF(VLOOKUP($A70,Atletas!$A:$H,4,FALSE)&lt;&gt;$B$6,VLOOKUP($A70,Atletas!$A:$H,4,FALSE),""))</f>
        <v/>
      </c>
      <c r="I70" s="115" t="str">
        <f>IFERROR(HLOOKUP($I$8,Tab_Din_nome!$A$2:$SK$333,64,0),"")</f>
        <v/>
      </c>
      <c r="J70" s="111" t="str">
        <f>IFERROR(VLOOKUP($I70,Atletas!$J:$P,5,FALSE),"")</f>
        <v/>
      </c>
      <c r="K70" s="58" t="str">
        <f>IFERROR(VLOOKUP($I70,Atletas!$J:$P,2,FALSE),"")</f>
        <v/>
      </c>
      <c r="L70" s="20"/>
      <c r="M70" s="20"/>
      <c r="N70" s="25" t="s">
        <v>769</v>
      </c>
      <c r="P70" s="75" t="s">
        <v>1409</v>
      </c>
      <c r="Q70" s="23" t="s">
        <v>1053</v>
      </c>
      <c r="R70" s="23" t="s">
        <v>1053</v>
      </c>
    </row>
    <row r="71" spans="1:18" ht="20" customHeight="1" thickBot="1">
      <c r="A71" s="55" t="str">
        <f>IF($B71="","",VLOOKUP($B71,Atletas!$J:$P,2,FALSE))</f>
        <v/>
      </c>
      <c r="B71" s="45"/>
      <c r="C71" s="43" t="str">
        <f>IF($B71="","",VLOOKUP($B71,Atletas!$J:$P,4,FALSE))</f>
        <v/>
      </c>
      <c r="D71" s="53" t="str">
        <f>IF($B71="","",VLOOKUP($B71,Atletas!$J:$P,5,FALSE))</f>
        <v/>
      </c>
      <c r="E71" s="53" t="str">
        <f>IF($B71="","",VLOOKUP($B71,Atletas!$J:$P,6,FALSE))</f>
        <v/>
      </c>
      <c r="F71" s="124"/>
      <c r="G71" s="124"/>
      <c r="H71" s="15" t="str">
        <f>IF(A71="","",IF(VLOOKUP($A71,Atletas!$A:$H,4,FALSE)&lt;&gt;$B$6,VLOOKUP($A71,Atletas!$A:$H,4,FALSE),""))</f>
        <v/>
      </c>
      <c r="I71" s="115" t="str">
        <f>IFERROR(HLOOKUP($I$8,Tab_Din_nome!$A$2:$SK$333,65,0),"")</f>
        <v/>
      </c>
      <c r="J71" s="111" t="str">
        <f>IFERROR(VLOOKUP($I71,Atletas!$J:$P,5,FALSE),"")</f>
        <v/>
      </c>
      <c r="K71" s="58" t="str">
        <f>IFERROR(VLOOKUP($I71,Atletas!$J:$P,2,FALSE),"")</f>
        <v/>
      </c>
      <c r="L71" s="20"/>
      <c r="M71" s="20"/>
      <c r="N71" s="25" t="s">
        <v>770</v>
      </c>
      <c r="P71" s="75" t="s">
        <v>1410</v>
      </c>
      <c r="Q71" s="23" t="s">
        <v>1053</v>
      </c>
      <c r="R71" s="23" t="s">
        <v>1053</v>
      </c>
    </row>
    <row r="72" spans="1:18" ht="20" customHeight="1">
      <c r="A72" s="20"/>
      <c r="B72" s="20"/>
      <c r="C72" s="20"/>
      <c r="D72" s="20"/>
      <c r="E72" s="20"/>
      <c r="F72" s="20"/>
      <c r="G72" s="20"/>
      <c r="H72" s="20"/>
      <c r="I72" s="115" t="str">
        <f>IFERROR(HLOOKUP($I$8,Tab_Din_nome!$A$2:$SK$333,66,0),"")</f>
        <v/>
      </c>
      <c r="J72" s="111" t="str">
        <f>IFERROR(VLOOKUP($I72,Atletas!$J:$P,5,FALSE),"")</f>
        <v/>
      </c>
      <c r="K72" s="58" t="str">
        <f>IFERROR(VLOOKUP($I72,Atletas!$J:$P,2,FALSE),"")</f>
        <v/>
      </c>
      <c r="L72" s="20"/>
      <c r="M72" s="20"/>
      <c r="N72" s="25" t="s">
        <v>771</v>
      </c>
      <c r="P72" s="75" t="s">
        <v>1411</v>
      </c>
      <c r="Q72" s="23" t="s">
        <v>1053</v>
      </c>
      <c r="R72" s="23" t="s">
        <v>1053</v>
      </c>
    </row>
    <row r="73" spans="1:18" ht="20" customHeight="1">
      <c r="A73" s="20"/>
      <c r="B73" s="20"/>
      <c r="C73" s="20"/>
      <c r="D73" s="20"/>
      <c r="E73" s="20"/>
      <c r="F73" s="20"/>
      <c r="G73" s="20"/>
      <c r="H73" s="20"/>
      <c r="I73" s="115" t="str">
        <f>IFERROR(HLOOKUP($I$8,Tab_Din_nome!$A$2:$SK$333,67,0),"")</f>
        <v/>
      </c>
      <c r="J73" s="111" t="str">
        <f>IFERROR(VLOOKUP($I73,Atletas!$J:$P,5,FALSE),"")</f>
        <v/>
      </c>
      <c r="K73" s="58" t="str">
        <f>IFERROR(VLOOKUP($I73,Atletas!$J:$P,2,FALSE),"")</f>
        <v/>
      </c>
      <c r="L73" s="20"/>
      <c r="M73" s="20"/>
      <c r="N73" s="25"/>
      <c r="P73" s="75" t="s">
        <v>1412</v>
      </c>
      <c r="Q73" s="23" t="s">
        <v>1053</v>
      </c>
      <c r="R73" s="23" t="s">
        <v>1053</v>
      </c>
    </row>
    <row r="74" spans="1:18" ht="20" customHeight="1">
      <c r="A74" s="20"/>
      <c r="B74" s="20"/>
      <c r="C74" s="20"/>
      <c r="D74" s="20"/>
      <c r="E74" s="20"/>
      <c r="F74" s="20"/>
      <c r="G74" s="20"/>
      <c r="H74" s="20"/>
      <c r="I74" s="115" t="str">
        <f>IFERROR(HLOOKUP($I$8,Tab_Din_nome!$A$2:$SK$333,68,0),"")</f>
        <v/>
      </c>
      <c r="J74" s="111" t="str">
        <f>IFERROR(VLOOKUP($I74,Atletas!$J:$P,5,FALSE),"")</f>
        <v/>
      </c>
      <c r="K74" s="58" t="str">
        <f>IFERROR(VLOOKUP($I74,Atletas!$J:$P,2,FALSE),"")</f>
        <v/>
      </c>
      <c r="L74" s="20"/>
      <c r="M74" s="20"/>
      <c r="N74" s="25" t="s">
        <v>60</v>
      </c>
      <c r="P74" s="75" t="s">
        <v>1413</v>
      </c>
      <c r="Q74" s="23" t="s">
        <v>1053</v>
      </c>
      <c r="R74" s="23" t="s">
        <v>1053</v>
      </c>
    </row>
    <row r="75" spans="1:18" ht="20" customHeight="1">
      <c r="A75" s="20"/>
      <c r="B75" s="20"/>
      <c r="C75" s="20"/>
      <c r="D75" s="20"/>
      <c r="E75" s="20"/>
      <c r="F75" s="20"/>
      <c r="G75" s="20"/>
      <c r="H75" s="20"/>
      <c r="I75" s="115" t="str">
        <f>IFERROR(HLOOKUP($I$8,Tab_Din_nome!$A$2:$SK$333,69,0),"")</f>
        <v/>
      </c>
      <c r="J75" s="111" t="str">
        <f>IFERROR(VLOOKUP($I75,Atletas!$J:$P,5,FALSE),"")</f>
        <v/>
      </c>
      <c r="K75" s="58" t="str">
        <f>IFERROR(VLOOKUP($I75,Atletas!$J:$P,2,FALSE),"")</f>
        <v/>
      </c>
      <c r="L75" s="20"/>
      <c r="M75" s="20"/>
      <c r="N75" s="25" t="s">
        <v>58</v>
      </c>
    </row>
    <row r="76" spans="1:18" ht="20" customHeight="1">
      <c r="A76" s="20"/>
      <c r="B76" s="20"/>
      <c r="C76" s="20"/>
      <c r="D76" s="20"/>
      <c r="E76" s="20"/>
      <c r="F76" s="20"/>
      <c r="G76" s="20"/>
      <c r="H76" s="20"/>
      <c r="I76" s="115" t="str">
        <f>IFERROR(HLOOKUP($I$8,Tab_Din_nome!$A$2:$SK$333,70,0),"")</f>
        <v/>
      </c>
      <c r="J76" s="111" t="str">
        <f>IFERROR(VLOOKUP($I76,Atletas!$J:$P,5,FALSE),"")</f>
        <v/>
      </c>
      <c r="K76" s="58" t="str">
        <f>IFERROR(VLOOKUP($I76,Atletas!$J:$P,2,FALSE),"")</f>
        <v/>
      </c>
      <c r="L76" s="20"/>
      <c r="M76" s="20"/>
      <c r="N76" s="25" t="s">
        <v>59</v>
      </c>
    </row>
    <row r="77" spans="1:18" ht="20" customHeight="1">
      <c r="A77" s="20"/>
      <c r="B77" s="20"/>
      <c r="C77" s="20"/>
      <c r="D77" s="20"/>
      <c r="E77" s="20"/>
      <c r="F77" s="20"/>
      <c r="G77" s="20"/>
      <c r="H77" s="20"/>
      <c r="I77" s="115" t="str">
        <f>IFERROR(HLOOKUP($I$8,Tab_Din_nome!$A$2:$SK$333,71,0),"")</f>
        <v/>
      </c>
      <c r="J77" s="111" t="str">
        <f>IFERROR(VLOOKUP($I77,Atletas!$J:$P,5,FALSE),"")</f>
        <v/>
      </c>
      <c r="K77" s="58" t="str">
        <f>IFERROR(VLOOKUP($I77,Atletas!$J:$P,2,FALSE),"")</f>
        <v/>
      </c>
      <c r="L77" s="20"/>
      <c r="M77" s="20"/>
      <c r="N77" s="25" t="s">
        <v>62</v>
      </c>
    </row>
    <row r="78" spans="1:18" ht="20" customHeight="1">
      <c r="A78" s="20"/>
      <c r="B78" s="20"/>
      <c r="C78" s="20"/>
      <c r="D78" s="20"/>
      <c r="E78" s="20"/>
      <c r="F78" s="20"/>
      <c r="G78" s="20"/>
      <c r="H78" s="20"/>
      <c r="I78" s="115" t="str">
        <f>IFERROR(HLOOKUP($I$8,Tab_Din_nome!$A$2:$SK$333,72,0),"")</f>
        <v/>
      </c>
      <c r="J78" s="111" t="str">
        <f>IFERROR(VLOOKUP($I78,Atletas!$J:$P,5,FALSE),"")</f>
        <v/>
      </c>
      <c r="K78" s="58" t="str">
        <f>IFERROR(VLOOKUP($I78,Atletas!$J:$P,2,FALSE),"")</f>
        <v/>
      </c>
      <c r="L78" s="20"/>
      <c r="M78" s="20"/>
      <c r="N78" s="25" t="s">
        <v>61</v>
      </c>
    </row>
    <row r="79" spans="1:18" ht="20" customHeight="1">
      <c r="A79" s="20"/>
      <c r="B79" s="20"/>
      <c r="C79" s="20"/>
      <c r="D79" s="20"/>
      <c r="E79" s="20"/>
      <c r="F79" s="20"/>
      <c r="G79" s="20"/>
      <c r="H79" s="20"/>
      <c r="I79" s="115" t="str">
        <f>IFERROR(HLOOKUP($I$8,Tab_Din_nome!$A$2:$SK$333,73,0),"")</f>
        <v/>
      </c>
      <c r="J79" s="111" t="str">
        <f>IFERROR(VLOOKUP($I79,Atletas!$J:$P,5,FALSE),"")</f>
        <v/>
      </c>
      <c r="K79" s="58" t="str">
        <f>IFERROR(VLOOKUP($I79,Atletas!$J:$P,2,FALSE),"")</f>
        <v/>
      </c>
      <c r="L79" s="20"/>
      <c r="M79" s="20"/>
      <c r="N79" s="25" t="s">
        <v>63</v>
      </c>
    </row>
    <row r="80" spans="1:18" ht="20" customHeight="1">
      <c r="A80" s="20"/>
      <c r="B80" s="20"/>
      <c r="C80" s="20"/>
      <c r="D80" s="20"/>
      <c r="E80" s="20"/>
      <c r="F80" s="20"/>
      <c r="G80" s="20"/>
      <c r="H80" s="20"/>
      <c r="I80" s="115" t="str">
        <f>IFERROR(HLOOKUP($I$8,Tab_Din_nome!$A$2:$SK$333,74,0),"")</f>
        <v/>
      </c>
      <c r="J80" s="111" t="str">
        <f>IFERROR(VLOOKUP($I80,Atletas!$J:$P,5,FALSE),"")</f>
        <v/>
      </c>
      <c r="K80" s="58" t="str">
        <f>IFERROR(VLOOKUP($I80,Atletas!$J:$P,2,FALSE),"")</f>
        <v/>
      </c>
      <c r="L80" s="20"/>
      <c r="M80" s="20"/>
      <c r="N80" s="25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15" t="str">
        <f>IFERROR(HLOOKUP($I$8,Tab_Din_nome!$A$2:$SK$333,75,0),"")</f>
        <v/>
      </c>
      <c r="J81" s="111" t="str">
        <f>IFERROR(VLOOKUP($I81,Atletas!$J:$P,5,FALSE),"")</f>
        <v/>
      </c>
      <c r="K81" s="58" t="str">
        <f>IFERROR(VLOOKUP($I81,Atletas!$J:$P,2,FALSE),"")</f>
        <v/>
      </c>
      <c r="L81" s="20"/>
      <c r="M81" s="20"/>
      <c r="N81" s="25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15" t="str">
        <f>IFERROR(HLOOKUP($I$8,Tab_Din_nome!$A$2:$SK$333,76,0),"")</f>
        <v/>
      </c>
      <c r="J82" s="111" t="str">
        <f>IFERROR(VLOOKUP($I82,Atletas!$J:$P,5,FALSE),"")</f>
        <v/>
      </c>
      <c r="K82" s="58" t="str">
        <f>IFERROR(VLOOKUP($I82,Atletas!$J:$P,2,FALSE),"")</f>
        <v/>
      </c>
      <c r="L82" s="20"/>
      <c r="M82" s="20"/>
      <c r="N82" s="25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15" t="str">
        <f>IFERROR(HLOOKUP($I$8,Tab_Din_nome!$A$2:$SK$333,77,0),"")</f>
        <v/>
      </c>
      <c r="J83" s="111" t="str">
        <f>IFERROR(VLOOKUP($I83,Atletas!$J:$P,5,FALSE),"")</f>
        <v/>
      </c>
      <c r="K83" s="58" t="str">
        <f>IFERROR(VLOOKUP($I83,Atletas!$J:$P,2,FALSE),"")</f>
        <v/>
      </c>
      <c r="L83" s="20"/>
      <c r="M83" s="20"/>
      <c r="N83" s="25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15" t="str">
        <f>IFERROR(HLOOKUP($I$8,Tab_Din_nome!$A$2:$SK$333,78,0),"")</f>
        <v/>
      </c>
      <c r="J84" s="111" t="str">
        <f>IFERROR(VLOOKUP($I84,Atletas!$J:$P,5,FALSE),"")</f>
        <v/>
      </c>
      <c r="K84" s="58" t="str">
        <f>IFERROR(VLOOKUP($I84,Atletas!$J:$P,2,FALSE),"")</f>
        <v/>
      </c>
      <c r="L84" s="20"/>
      <c r="M84" s="20"/>
      <c r="N84" s="25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15" t="str">
        <f>IFERROR(HLOOKUP($I$8,Tab_Din_nome!$A$2:$SK$333,79,0),"")</f>
        <v/>
      </c>
      <c r="J85" s="111" t="str">
        <f>IFERROR(VLOOKUP($I85,Atletas!$J:$P,5,FALSE),"")</f>
        <v/>
      </c>
      <c r="K85" s="58" t="str">
        <f>IFERROR(VLOOKUP($I85,Atletas!$J:$P,2,FALSE),"")</f>
        <v/>
      </c>
      <c r="L85" s="20"/>
      <c r="M85" s="20"/>
      <c r="N85" s="25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15" t="str">
        <f>IFERROR(HLOOKUP($I$8,Tab_Din_nome!$A$2:$SK$333,80,0),"")</f>
        <v/>
      </c>
      <c r="J86" s="111" t="str">
        <f>IFERROR(VLOOKUP($I86,Atletas!$J:$P,5,FALSE),"")</f>
        <v/>
      </c>
      <c r="K86" s="58" t="str">
        <f>IFERROR(VLOOKUP($I86,Atletas!$J:$P,2,FALSE),"")</f>
        <v/>
      </c>
      <c r="L86" s="20"/>
      <c r="M86" s="20"/>
      <c r="N86" s="25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15" t="str">
        <f>IFERROR(HLOOKUP($I$8,Tab_Din_nome!$A$2:$SK$333,81,0),"")</f>
        <v/>
      </c>
      <c r="J87" s="111" t="str">
        <f>IFERROR(VLOOKUP($I87,Atletas!$J:$P,5,FALSE),"")</f>
        <v/>
      </c>
      <c r="K87" s="58" t="str">
        <f>IFERROR(VLOOKUP($I87,Atletas!$J:$P,2,FALSE),"")</f>
        <v/>
      </c>
      <c r="L87" s="20"/>
      <c r="M87" s="20"/>
      <c r="N87" s="25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15" t="str">
        <f>IFERROR(HLOOKUP($I$8,Tab_Din_nome!$A$2:$SK$333,82,0),"")</f>
        <v/>
      </c>
      <c r="J88" s="111" t="str">
        <f>IFERROR(VLOOKUP($I88,Atletas!$J:$P,5,FALSE),"")</f>
        <v/>
      </c>
      <c r="K88" s="58" t="str">
        <f>IFERROR(VLOOKUP($I88,Atletas!$J:$P,2,FALSE),"")</f>
        <v/>
      </c>
      <c r="L88" s="20"/>
      <c r="M88" s="20"/>
      <c r="N88" s="25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15" t="str">
        <f>IFERROR(HLOOKUP($I$8,Tab_Din_nome!$A$2:$SK$333,83,0),"")</f>
        <v/>
      </c>
      <c r="J89" s="111" t="str">
        <f>IFERROR(VLOOKUP($I89,Atletas!$J:$P,5,FALSE),"")</f>
        <v/>
      </c>
      <c r="K89" s="58" t="str">
        <f>IFERROR(VLOOKUP($I89,Atletas!$J:$P,2,FALSE),"")</f>
        <v/>
      </c>
      <c r="L89" s="20"/>
      <c r="M89" s="20"/>
      <c r="N89" s="25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15" t="str">
        <f>IFERROR(HLOOKUP($I$8,Tab_Din_nome!$A$2:$SK$333,84,0),"")</f>
        <v/>
      </c>
      <c r="J90" s="111" t="str">
        <f>IFERROR(VLOOKUP($I90,Atletas!$J:$P,5,FALSE),"")</f>
        <v/>
      </c>
      <c r="K90" s="58" t="str">
        <f>IFERROR(VLOOKUP($I90,Atletas!$J:$P,2,FALSE),"")</f>
        <v/>
      </c>
      <c r="L90" s="20"/>
      <c r="M90" s="20"/>
      <c r="N90" s="25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15" t="str">
        <f>IFERROR(HLOOKUP($I$8,Tab_Din_nome!$A$2:$SK$333,85,0),"")</f>
        <v/>
      </c>
      <c r="J91" s="111" t="str">
        <f>IFERROR(VLOOKUP($I91,Atletas!$J:$P,5,FALSE),"")</f>
        <v/>
      </c>
      <c r="K91" s="58" t="str">
        <f>IFERROR(VLOOKUP($I91,Atletas!$J:$P,2,FALSE),"")</f>
        <v/>
      </c>
      <c r="L91" s="20"/>
      <c r="M91" s="20"/>
      <c r="N91" s="25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15" t="str">
        <f>IFERROR(HLOOKUP($I$8,Tab_Din_nome!$A$2:$SK$333,86,0),"")</f>
        <v/>
      </c>
      <c r="J92" s="111" t="str">
        <f>IFERROR(VLOOKUP($I92,Atletas!$J:$P,5,FALSE),"")</f>
        <v/>
      </c>
      <c r="K92" s="58" t="str">
        <f>IFERROR(VLOOKUP($I92,Atletas!$J:$P,2,FALSE),"")</f>
        <v/>
      </c>
      <c r="L92" s="20"/>
      <c r="M92" s="20"/>
      <c r="N92" s="25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15" t="str">
        <f>IFERROR(HLOOKUP($I$8,Tab_Din_nome!$A$2:$SK$333,87,0),"")</f>
        <v/>
      </c>
      <c r="J93" s="111" t="str">
        <f>IFERROR(VLOOKUP($I93,Atletas!$J:$P,5,FALSE),"")</f>
        <v/>
      </c>
      <c r="K93" s="58" t="str">
        <f>IFERROR(VLOOKUP($I93,Atletas!$J:$P,2,FALSE),"")</f>
        <v/>
      </c>
      <c r="L93" s="20"/>
      <c r="M93" s="20"/>
      <c r="N93" s="25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15" t="str">
        <f>IFERROR(HLOOKUP($I$8,Tab_Din_nome!$A$2:$SK$333,88,0),"")</f>
        <v/>
      </c>
      <c r="J94" s="111" t="str">
        <f>IFERROR(VLOOKUP($I94,Atletas!$J:$P,5,FALSE),"")</f>
        <v/>
      </c>
      <c r="K94" s="58" t="str">
        <f>IFERROR(VLOOKUP($I94,Atletas!$J:$P,2,FALSE),"")</f>
        <v/>
      </c>
      <c r="L94" s="20"/>
      <c r="M94" s="20"/>
      <c r="N94" s="25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15" t="str">
        <f>IFERROR(HLOOKUP($I$8,Tab_Din_nome!$A$2:$SK$333,89,0),"")</f>
        <v/>
      </c>
      <c r="J95" s="111" t="str">
        <f>IFERROR(VLOOKUP($I95,Atletas!$J:$P,5,FALSE),"")</f>
        <v/>
      </c>
      <c r="K95" s="58" t="str">
        <f>IFERROR(VLOOKUP($I95,Atletas!$J:$P,2,FALSE),"")</f>
        <v/>
      </c>
      <c r="L95" s="20"/>
      <c r="M95" s="20"/>
      <c r="N95" s="25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15" t="str">
        <f>IFERROR(HLOOKUP($I$8,Tab_Din_nome!$A$2:$SK$333,90,0),"")</f>
        <v/>
      </c>
      <c r="J96" s="111" t="str">
        <f>IFERROR(VLOOKUP($I96,Atletas!$J:$P,5,FALSE),"")</f>
        <v/>
      </c>
      <c r="K96" s="58" t="str">
        <f>IFERROR(VLOOKUP($I96,Atletas!$J:$P,2,FALSE),"")</f>
        <v/>
      </c>
      <c r="L96" s="20"/>
      <c r="M96" s="20"/>
      <c r="N96" s="25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15" t="str">
        <f>IFERROR(HLOOKUP($I$8,Tab_Din_nome!$A$2:$SK$333,91,0),"")</f>
        <v/>
      </c>
      <c r="J97" s="111" t="str">
        <f>IFERROR(VLOOKUP($I97,Atletas!$J:$P,5,FALSE),"")</f>
        <v/>
      </c>
      <c r="K97" s="58" t="str">
        <f>IFERROR(VLOOKUP($I97,Atletas!$J:$P,2,FALSE),"")</f>
        <v/>
      </c>
      <c r="L97" s="20"/>
      <c r="M97" s="20"/>
      <c r="N97" s="25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15" t="str">
        <f>IFERROR(HLOOKUP($I$8,Tab_Din_nome!$A$2:$SK$333,92,0),"")</f>
        <v/>
      </c>
      <c r="J98" s="111" t="str">
        <f>IFERROR(VLOOKUP($I98,Atletas!$J:$P,5,FALSE),"")</f>
        <v/>
      </c>
      <c r="K98" s="58" t="str">
        <f>IFERROR(VLOOKUP($I98,Atletas!$J:$P,2,FALSE),"")</f>
        <v/>
      </c>
      <c r="L98" s="20"/>
      <c r="M98" s="20"/>
      <c r="N98" s="25" t="s">
        <v>375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15" t="str">
        <f>IFERROR(HLOOKUP($I$8,Tab_Din_nome!$A$2:$SK$333,93,0),"")</f>
        <v/>
      </c>
      <c r="J99" s="111" t="str">
        <f>IFERROR(VLOOKUP($I99,Atletas!$J:$P,5,FALSE),"")</f>
        <v/>
      </c>
      <c r="K99" s="58" t="str">
        <f>IFERROR(VLOOKUP($I99,Atletas!$J:$P,2,FALSE),"")</f>
        <v/>
      </c>
      <c r="L99" s="20"/>
      <c r="M99" s="20"/>
      <c r="N99" s="25" t="s">
        <v>376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15" t="str">
        <f>IFERROR(HLOOKUP($I$8,Tab_Din_nome!$A$2:$SK$333,94,0),"")</f>
        <v/>
      </c>
      <c r="J100" s="111" t="str">
        <f>IFERROR(VLOOKUP($I100,Atletas!$J:$P,5,FALSE),"")</f>
        <v/>
      </c>
      <c r="K100" s="58" t="str">
        <f>IFERROR(VLOOKUP($I100,Atletas!$J:$P,2,FALSE),"")</f>
        <v/>
      </c>
      <c r="L100" s="20"/>
      <c r="M100" s="20"/>
      <c r="N100" s="25" t="s">
        <v>377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15" t="str">
        <f>IFERROR(HLOOKUP($I$8,Tab_Din_nome!$A$2:$SK$333,95,0),"")</f>
        <v/>
      </c>
      <c r="J101" s="111" t="str">
        <f>IFERROR(VLOOKUP($I101,Atletas!$J:$P,5,FALSE),"")</f>
        <v/>
      </c>
      <c r="K101" s="58" t="str">
        <f>IFERROR(VLOOKUP($I101,Atletas!$J:$P,2,FALSE),"")</f>
        <v/>
      </c>
      <c r="L101" s="20"/>
      <c r="M101" s="20"/>
      <c r="N101" s="25" t="s">
        <v>378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15" t="str">
        <f>IFERROR(HLOOKUP($I$8,Tab_Din_nome!$A$2:$SK$333,96,0),"")</f>
        <v/>
      </c>
      <c r="J102" s="111" t="str">
        <f>IFERROR(VLOOKUP($I102,Atletas!$J:$P,5,FALSE),"")</f>
        <v/>
      </c>
      <c r="K102" s="58" t="str">
        <f>IFERROR(VLOOKUP($I102,Atletas!$J:$P,2,FALSE),"")</f>
        <v/>
      </c>
      <c r="L102" s="20"/>
      <c r="M102" s="20"/>
      <c r="N102" s="25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15" t="str">
        <f>IFERROR(HLOOKUP($I$8,Tab_Din_nome!$A$2:$SK$333,97,0),"")</f>
        <v/>
      </c>
      <c r="J103" s="111" t="str">
        <f>IFERROR(VLOOKUP($I103,Atletas!$J:$P,5,FALSE),"")</f>
        <v/>
      </c>
      <c r="K103" s="58" t="str">
        <f>IFERROR(VLOOKUP($I103,Atletas!$J:$P,2,FALSE),"")</f>
        <v/>
      </c>
      <c r="L103" s="20"/>
      <c r="M103" s="20"/>
      <c r="N103" s="25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15" t="str">
        <f>IFERROR(HLOOKUP($I$8,Tab_Din_nome!$A$2:$SK$333,98,0),"")</f>
        <v/>
      </c>
      <c r="J104" s="111" t="str">
        <f>IFERROR(VLOOKUP($I104,Atletas!$J:$P,5,FALSE),"")</f>
        <v/>
      </c>
      <c r="K104" s="58" t="str">
        <f>IFERROR(VLOOKUP($I104,Atletas!$J:$P,2,FALSE),"")</f>
        <v/>
      </c>
      <c r="L104" s="20"/>
      <c r="M104" s="20"/>
      <c r="N104" s="25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15" t="str">
        <f>IFERROR(HLOOKUP($I$8,Tab_Din_nome!$A$2:$SK$333,99,0),"")</f>
        <v/>
      </c>
      <c r="J105" s="111" t="str">
        <f>IFERROR(VLOOKUP($I105,Atletas!$J:$P,5,FALSE),"")</f>
        <v/>
      </c>
      <c r="K105" s="58" t="str">
        <f>IFERROR(VLOOKUP($I105,Atletas!$J:$P,2,FALSE),"")</f>
        <v/>
      </c>
      <c r="L105" s="20"/>
      <c r="M105" s="20"/>
      <c r="N105" s="25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15" t="str">
        <f>IFERROR(HLOOKUP($I$8,Tab_Din_nome!$A$2:$SK$333,100,0),"")</f>
        <v/>
      </c>
      <c r="J106" s="111" t="str">
        <f>IFERROR(VLOOKUP($I106,Atletas!$J:$P,5,FALSE),"")</f>
        <v/>
      </c>
      <c r="K106" s="58" t="str">
        <f>IFERROR(VLOOKUP($I106,Atletas!$J:$P,2,FALSE),"")</f>
        <v/>
      </c>
      <c r="L106" s="20"/>
      <c r="M106" s="20"/>
      <c r="N106" s="25" t="s">
        <v>131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15" t="str">
        <f>IFERROR(HLOOKUP($I$8,Tab_Din_nome!$A$2:$SK$333,101,0),"")</f>
        <v/>
      </c>
      <c r="J107" s="111" t="str">
        <f>IFERROR(VLOOKUP($I107,Atletas!$J:$P,5,FALSE),"")</f>
        <v/>
      </c>
      <c r="K107" s="58" t="str">
        <f>IFERROR(VLOOKUP($I107,Atletas!$J:$P,2,FALSE),"")</f>
        <v/>
      </c>
      <c r="L107" s="20"/>
      <c r="M107" s="20"/>
      <c r="N107" s="25"/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15" t="str">
        <f>IFERROR(HLOOKUP($I$8,Tab_Din_nome!$A$2:$SK$333,102,0),"")</f>
        <v/>
      </c>
      <c r="J108" s="111" t="str">
        <f>IFERROR(VLOOKUP($I108,Atletas!$J:$P,5,FALSE),"")</f>
        <v/>
      </c>
      <c r="K108" s="58" t="str">
        <f>IFERROR(VLOOKUP($I108,Atletas!$J:$P,2,FALSE),"")</f>
        <v/>
      </c>
      <c r="L108" s="20"/>
      <c r="M108" s="20"/>
      <c r="N108" s="25" t="s">
        <v>895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15" t="str">
        <f>IFERROR(HLOOKUP($I$8,Tab_Din_nome!$A$2:$SK$333,103,0),"")</f>
        <v/>
      </c>
      <c r="J109" s="111" t="str">
        <f>IFERROR(VLOOKUP($I109,Atletas!$J:$P,5,FALSE),"")</f>
        <v/>
      </c>
      <c r="K109" s="58" t="str">
        <f>IFERROR(VLOOKUP($I109,Atletas!$J:$P,2,FALSE),"")</f>
        <v/>
      </c>
      <c r="L109" s="20"/>
      <c r="M109" s="20"/>
      <c r="N109" s="25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15" t="str">
        <f>IFERROR(HLOOKUP($I$8,Tab_Din_nome!$A$2:$SK$333,104,0),"")</f>
        <v/>
      </c>
      <c r="J110" s="111" t="str">
        <f>IFERROR(VLOOKUP($I110,Atletas!$J:$P,5,FALSE),"")</f>
        <v/>
      </c>
      <c r="K110" s="58" t="str">
        <f>IFERROR(VLOOKUP($I110,Atletas!$J:$P,2,FALSE),"")</f>
        <v/>
      </c>
      <c r="L110" s="20"/>
      <c r="M110" s="20"/>
      <c r="N110" s="25" t="s">
        <v>372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15" t="str">
        <f>IFERROR(HLOOKUP($I$8,Tab_Din_nome!$A$2:$SK$333,105,0),"")</f>
        <v/>
      </c>
      <c r="J111" s="111" t="str">
        <f>IFERROR(VLOOKUP($I111,Atletas!$J:$P,5,FALSE),"")</f>
        <v/>
      </c>
      <c r="K111" s="58" t="str">
        <f>IFERROR(VLOOKUP($I111,Atletas!$J:$P,2,FALSE),"")</f>
        <v/>
      </c>
      <c r="L111" s="20"/>
      <c r="M111" s="20"/>
      <c r="N111" s="25" t="s">
        <v>373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15" t="str">
        <f>IFERROR(HLOOKUP($I$8,Tab_Din_nome!$A$2:$SK$333,106,0),"")</f>
        <v/>
      </c>
      <c r="J112" s="111" t="str">
        <f>IFERROR(VLOOKUP($I112,Atletas!$J:$P,5,FALSE),"")</f>
        <v/>
      </c>
      <c r="K112" s="58" t="str">
        <f>IFERROR(VLOOKUP($I112,Atletas!$J:$P,2,FALSE),"")</f>
        <v/>
      </c>
      <c r="L112" s="20"/>
      <c r="M112" s="20"/>
      <c r="N112" s="25" t="s">
        <v>374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15" t="str">
        <f>IFERROR(HLOOKUP($I$8,Tab_Din_nome!$A$2:$SK$333,107,0),"")</f>
        <v/>
      </c>
      <c r="J113" s="111" t="str">
        <f>IFERROR(VLOOKUP($I113,Atletas!$J:$P,5,FALSE),"")</f>
        <v/>
      </c>
      <c r="K113" s="58" t="str">
        <f>IFERROR(VLOOKUP($I113,Atletas!$J:$P,2,FALSE),"")</f>
        <v/>
      </c>
      <c r="L113" s="20"/>
      <c r="M113" s="20"/>
      <c r="N113" s="25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15" t="str">
        <f>IFERROR(HLOOKUP($I$8,Tab_Din_nome!$A$2:$SK$333,108,0),"")</f>
        <v/>
      </c>
      <c r="J114" s="111" t="str">
        <f>IFERROR(VLOOKUP($I114,Atletas!$J:$P,5,FALSE),"")</f>
        <v/>
      </c>
      <c r="K114" s="58" t="str">
        <f>IFERROR(VLOOKUP($I114,Atletas!$J:$P,2,FALSE),"")</f>
        <v/>
      </c>
      <c r="L114" s="20"/>
      <c r="M114" s="20"/>
      <c r="N114" s="25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15" t="str">
        <f>IFERROR(HLOOKUP($I$8,Tab_Din_nome!$A$2:$SK$333,109,0),"")</f>
        <v/>
      </c>
      <c r="J115" s="111" t="str">
        <f>IFERROR(VLOOKUP($I115,Atletas!$J:$P,5,FALSE),"")</f>
        <v/>
      </c>
      <c r="K115" s="58" t="str">
        <f>IFERROR(VLOOKUP($I115,Atletas!$J:$P,2,FALSE),"")</f>
        <v/>
      </c>
      <c r="L115" s="20"/>
      <c r="M115" s="20"/>
      <c r="N115" s="25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15" t="str">
        <f>IFERROR(HLOOKUP($I$8,Tab_Din_nome!$A$2:$SK$333,110,0),"")</f>
        <v/>
      </c>
      <c r="J116" s="111" t="str">
        <f>IFERROR(VLOOKUP($I116,Atletas!$J:$P,5,FALSE),"")</f>
        <v/>
      </c>
      <c r="K116" s="58" t="str">
        <f>IFERROR(VLOOKUP($I116,Atletas!$J:$P,2,FALSE),"")</f>
        <v/>
      </c>
      <c r="L116" s="20"/>
      <c r="M116" s="20"/>
      <c r="N116" s="25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15" t="str">
        <f>IFERROR(HLOOKUP($I$8,Tab_Din_nome!$A$2:$SK$333,111,0),"")</f>
        <v/>
      </c>
      <c r="J117" s="111" t="str">
        <f>IFERROR(VLOOKUP($I117,Atletas!$J:$P,5,FALSE),"")</f>
        <v/>
      </c>
      <c r="K117" s="5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15" t="str">
        <f>IFERROR(HLOOKUP($I$8,Tab_Din_nome!$A$2:$SK$333,112,0),"")</f>
        <v/>
      </c>
      <c r="J118" s="111" t="str">
        <f>IFERROR(VLOOKUP($I118,Atletas!$J:$P,5,FALSE),"")</f>
        <v/>
      </c>
      <c r="K118" s="5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15" t="str">
        <f>IFERROR(HLOOKUP($I$8,Tab_Din_nome!$A$2:$SK$333,113,0),"")</f>
        <v/>
      </c>
      <c r="J119" s="111" t="str">
        <f>IFERROR(VLOOKUP($I119,Atletas!$J:$P,5,FALSE),"")</f>
        <v/>
      </c>
      <c r="K119" s="5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15" t="str">
        <f>IFERROR(HLOOKUP($I$8,Tab_Din_nome!$A$2:$SK$333,114,0),"")</f>
        <v/>
      </c>
      <c r="J120" s="111" t="str">
        <f>IFERROR(VLOOKUP($I120,Atletas!$J:$P,5,FALSE),"")</f>
        <v/>
      </c>
      <c r="K120" s="5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15" t="str">
        <f>IFERROR(HLOOKUP($I$8,Tab_Din_nome!$A$2:$SK$333,115,0),"")</f>
        <v/>
      </c>
      <c r="J121" s="111" t="str">
        <f>IFERROR(VLOOKUP($I121,Atletas!$J:$P,5,FALSE),"")</f>
        <v/>
      </c>
      <c r="K121" s="5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15" t="str">
        <f>IFERROR(HLOOKUP($I$8,Tab_Din_nome!$A$2:$SK$333,116,0),"")</f>
        <v/>
      </c>
      <c r="J122" s="111" t="str">
        <f>IFERROR(VLOOKUP($I122,Atletas!$J:$P,5,FALSE),"")</f>
        <v/>
      </c>
      <c r="K122" s="5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15" t="str">
        <f>IFERROR(HLOOKUP($I$8,Tab_Din_nome!$A$2:$SK$333,117,0),"")</f>
        <v/>
      </c>
      <c r="J123" s="111" t="str">
        <f>IFERROR(VLOOKUP($I123,Atletas!$J:$P,5,FALSE),"")</f>
        <v/>
      </c>
      <c r="K123" s="5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15" t="str">
        <f>IFERROR(HLOOKUP($I$8,Tab_Din_nome!$A$2:$SK$333,118,0),"")</f>
        <v/>
      </c>
      <c r="J124" s="111" t="str">
        <f>IFERROR(VLOOKUP($I124,Atletas!$J:$P,5,FALSE),"")</f>
        <v/>
      </c>
      <c r="K124" s="5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15" t="str">
        <f>IFERROR(HLOOKUP($I$8,Tab_Din_nome!$A$2:$SK$333,119,0),"")</f>
        <v/>
      </c>
      <c r="J125" s="111" t="str">
        <f>IFERROR(VLOOKUP($I125,Atletas!$J:$P,5,FALSE),"")</f>
        <v/>
      </c>
      <c r="K125" s="5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15" t="str">
        <f>IFERROR(HLOOKUP($I$8,Tab_Din_nome!$A$2:$SK$333,120,0),"")</f>
        <v/>
      </c>
      <c r="J126" s="111" t="str">
        <f>IFERROR(VLOOKUP($I126,Atletas!$J:$P,5,FALSE),"")</f>
        <v/>
      </c>
      <c r="K126" s="5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15" t="str">
        <f>IFERROR(HLOOKUP($I$8,Tab_Din_nome!$A$2:$SK$333,121,0),"")</f>
        <v/>
      </c>
      <c r="J127" s="111" t="str">
        <f>IFERROR(VLOOKUP($I127,Atletas!$J:$P,5,FALSE),"")</f>
        <v/>
      </c>
      <c r="K127" s="5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15" t="str">
        <f>IFERROR(HLOOKUP($I$8,Tab_Din_nome!$A$2:$SK$333,122,0),"")</f>
        <v/>
      </c>
      <c r="J128" s="111" t="str">
        <f>IFERROR(VLOOKUP($I128,Atletas!$J:$P,5,FALSE),"")</f>
        <v/>
      </c>
      <c r="K128" s="5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15" t="str">
        <f>IFERROR(HLOOKUP($I$8,Tab_Din_nome!$A$2:$SK$333,123,0),"")</f>
        <v/>
      </c>
      <c r="J129" s="111" t="str">
        <f>IFERROR(VLOOKUP($I129,Atletas!$J:$P,5,FALSE),"")</f>
        <v/>
      </c>
      <c r="K129" s="5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15" t="str">
        <f>IFERROR(HLOOKUP($I$8,Tab_Din_nome!$A$2:$SK$333,124,0),"")</f>
        <v/>
      </c>
      <c r="J130" s="111" t="str">
        <f>IFERROR(VLOOKUP($I130,Atletas!$J:$P,5,FALSE),"")</f>
        <v/>
      </c>
      <c r="K130" s="5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15" t="str">
        <f>IFERROR(HLOOKUP($I$8,Tab_Din_nome!$A$2:$SK$333,125,0),"")</f>
        <v/>
      </c>
      <c r="J131" s="111" t="str">
        <f>IFERROR(VLOOKUP($I131,Atletas!$J:$P,5,FALSE),"")</f>
        <v/>
      </c>
      <c r="K131" s="5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15" t="str">
        <f>IFERROR(HLOOKUP($I$8,Tab_Din_nome!$A$2:$SK$333,126,0),"")</f>
        <v/>
      </c>
      <c r="J132" s="111" t="str">
        <f>IFERROR(VLOOKUP($I132,Atletas!$J:$P,5,FALSE),"")</f>
        <v/>
      </c>
      <c r="K132" s="5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15" t="str">
        <f>IFERROR(HLOOKUP($I$8,Tab_Din_nome!$A$2:$SK$333,127,0),"")</f>
        <v/>
      </c>
      <c r="J133" s="111" t="str">
        <f>IFERROR(VLOOKUP($I133,Atletas!$J:$P,5,FALSE),"")</f>
        <v/>
      </c>
      <c r="K133" s="5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15" t="str">
        <f>IFERROR(HLOOKUP($I$8,Tab_Din_nome!$A$2:$SK$333,128,0),"")</f>
        <v/>
      </c>
      <c r="J134" s="111" t="str">
        <f>IFERROR(VLOOKUP($I134,Atletas!$J:$P,5,FALSE),"")</f>
        <v/>
      </c>
      <c r="K134" s="5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15" t="str">
        <f>IFERROR(HLOOKUP($I$8,Tab_Din_nome!$A$2:$SK$333,129,0),"")</f>
        <v/>
      </c>
      <c r="J135" s="111" t="str">
        <f>IFERROR(VLOOKUP($I135,Atletas!$J:$P,5,FALSE),"")</f>
        <v/>
      </c>
      <c r="K135" s="5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15" t="str">
        <f>IFERROR(HLOOKUP($I$8,Tab_Din_nome!$A$2:$SK$333,130,0),"")</f>
        <v/>
      </c>
      <c r="J136" s="111" t="str">
        <f>IFERROR(VLOOKUP($I136,Atletas!$J:$P,5,FALSE),"")</f>
        <v/>
      </c>
      <c r="K136" s="5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15" t="str">
        <f>IFERROR(HLOOKUP($I$8,Tab_Din_nome!$A$2:$SK$333,131,0),"")</f>
        <v/>
      </c>
      <c r="J137" s="111" t="str">
        <f>IFERROR(VLOOKUP($I137,Atletas!$J:$P,5,FALSE),"")</f>
        <v/>
      </c>
      <c r="K137" s="5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15" t="str">
        <f>IFERROR(HLOOKUP($I$8,Tab_Din_nome!$A$2:$SK$333,132,0),"")</f>
        <v/>
      </c>
      <c r="J138" s="111" t="str">
        <f>IFERROR(VLOOKUP($I138,Atletas!$J:$P,5,FALSE),"")</f>
        <v/>
      </c>
      <c r="K138" s="5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15" t="str">
        <f>IFERROR(HLOOKUP($I$8,Tab_Din_nome!$A$2:$SK$333,133,0),"")</f>
        <v/>
      </c>
      <c r="J139" s="111" t="str">
        <f>IFERROR(VLOOKUP($I139,Atletas!$J:$P,5,FALSE),"")</f>
        <v/>
      </c>
      <c r="K139" s="5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15" t="str">
        <f>IFERROR(HLOOKUP($I$8,Tab_Din_nome!$A$2:$SK$333,134,0),"")</f>
        <v/>
      </c>
      <c r="J140" s="111" t="str">
        <f>IFERROR(VLOOKUP($I140,Atletas!$J:$P,5,FALSE),"")</f>
        <v/>
      </c>
      <c r="K140" s="5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15" t="str">
        <f>IFERROR(HLOOKUP($I$8,Tab_Din_nome!$A$2:$SK$333,135,0),"")</f>
        <v/>
      </c>
      <c r="J141" s="111" t="str">
        <f>IFERROR(VLOOKUP($I141,Atletas!$J:$P,5,FALSE),"")</f>
        <v/>
      </c>
      <c r="K141" s="5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15" t="str">
        <f>IFERROR(HLOOKUP($I$8,Tab_Din_nome!$A$2:$SK$333,136,0),"")</f>
        <v/>
      </c>
      <c r="J142" s="111" t="str">
        <f>IFERROR(VLOOKUP($I142,Atletas!$J:$P,5,FALSE),"")</f>
        <v/>
      </c>
      <c r="K142" s="5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15" t="str">
        <f>IFERROR(HLOOKUP($I$8,Tab_Din_nome!$A$2:$SK$333,137,0),"")</f>
        <v/>
      </c>
      <c r="J143" s="111" t="str">
        <f>IFERROR(VLOOKUP($I143,Atletas!$J:$P,5,FALSE),"")</f>
        <v/>
      </c>
      <c r="K143" s="5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15" t="str">
        <f>IFERROR(HLOOKUP($I$8,Tab_Din_nome!$A$2:$SK$333,138,0),"")</f>
        <v/>
      </c>
      <c r="J144" s="111" t="str">
        <f>IFERROR(VLOOKUP($I144,Atletas!$J:$P,5,FALSE),"")</f>
        <v/>
      </c>
      <c r="K144" s="5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15" t="str">
        <f>IFERROR(HLOOKUP($I$8,Tab_Din_nome!$A$2:$SK$333,139,0),"")</f>
        <v/>
      </c>
      <c r="J145" s="111" t="str">
        <f>IFERROR(VLOOKUP($I145,Atletas!$J:$P,5,FALSE),"")</f>
        <v/>
      </c>
      <c r="K145" s="5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15" t="str">
        <f>IFERROR(HLOOKUP($I$8,Tab_Din_nome!$A$2:$SK$333,140,0),"")</f>
        <v/>
      </c>
      <c r="J146" s="111" t="str">
        <f>IFERROR(VLOOKUP($I146,Atletas!$J:$P,5,FALSE),"")</f>
        <v/>
      </c>
      <c r="K146" s="5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15" t="str">
        <f>IFERROR(HLOOKUP($I$8,Tab_Din_nome!$A$2:$SK$333,141,0),"")</f>
        <v/>
      </c>
      <c r="J147" s="111" t="str">
        <f>IFERROR(VLOOKUP($I147,Atletas!$J:$P,5,FALSE),"")</f>
        <v/>
      </c>
      <c r="K147" s="5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15" t="str">
        <f>IFERROR(HLOOKUP($I$8,Tab_Din_nome!$A$2:$SK$333,142,0),"")</f>
        <v/>
      </c>
      <c r="J148" s="111" t="str">
        <f>IFERROR(VLOOKUP($I148,Atletas!$J:$P,5,FALSE),"")</f>
        <v/>
      </c>
      <c r="K148" s="5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15" t="str">
        <f>IFERROR(HLOOKUP($I$8,Tab_Din_nome!$A$2:$SK$333,143,0),"")</f>
        <v/>
      </c>
      <c r="J149" s="111" t="str">
        <f>IFERROR(VLOOKUP($I149,Atletas!$J:$P,5,FALSE),"")</f>
        <v/>
      </c>
      <c r="K149" s="5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15" t="str">
        <f>IFERROR(HLOOKUP($I$8,Tab_Din_nome!$A$2:$SK$333,144,0),"")</f>
        <v/>
      </c>
      <c r="J150" s="111" t="str">
        <f>IFERROR(VLOOKUP($I150,Atletas!$J:$P,5,FALSE),"")</f>
        <v/>
      </c>
      <c r="K150" s="5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15" t="str">
        <f>IFERROR(HLOOKUP($I$8,Tab_Din_nome!$A$2:$SK$333,145,0),"")</f>
        <v/>
      </c>
      <c r="J151" s="111" t="str">
        <f>IFERROR(VLOOKUP($I151,Atletas!$J:$P,5,FALSE),"")</f>
        <v/>
      </c>
      <c r="K151" s="5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15" t="str">
        <f>IFERROR(HLOOKUP($I$8,Tab_Din_nome!$A$2:$SK$333,146,0),"")</f>
        <v/>
      </c>
      <c r="J152" s="111" t="str">
        <f>IFERROR(VLOOKUP($I152,Atletas!$J:$P,5,FALSE),"")</f>
        <v/>
      </c>
      <c r="K152" s="5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15" t="str">
        <f>IFERROR(HLOOKUP($I$8,Tab_Din_nome!$A$2:$SK$333,147,0),"")</f>
        <v/>
      </c>
      <c r="J153" s="111" t="str">
        <f>IFERROR(VLOOKUP($I153,Atletas!$J:$P,5,FALSE),"")</f>
        <v/>
      </c>
      <c r="K153" s="5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15" t="str">
        <f>IFERROR(HLOOKUP($I$8,Tab_Din_nome!$A$2:$SK$333,148,0),"")</f>
        <v/>
      </c>
      <c r="J154" s="111" t="str">
        <f>IFERROR(VLOOKUP($I154,Atletas!$J:$P,5,FALSE),"")</f>
        <v/>
      </c>
      <c r="K154" s="5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15" t="str">
        <f>IFERROR(HLOOKUP($I$8,Tab_Din_nome!$A$2:$SK$333,149,0),"")</f>
        <v/>
      </c>
      <c r="J155" s="111" t="str">
        <f>IFERROR(VLOOKUP($I155,Atletas!$J:$P,5,FALSE),"")</f>
        <v/>
      </c>
      <c r="K155" s="5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15" t="str">
        <f>IFERROR(HLOOKUP($I$8,Tab_Din_nome!$A$2:$SK$333,150,0),"")</f>
        <v/>
      </c>
      <c r="J156" s="111" t="str">
        <f>IFERROR(VLOOKUP($I156,Atletas!$J:$P,5,FALSE),"")</f>
        <v/>
      </c>
      <c r="K156" s="5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15" t="str">
        <f>IFERROR(HLOOKUP($I$8,Tab_Din_nome!$A$2:$SK$333,151,0),"")</f>
        <v/>
      </c>
      <c r="J157" s="111" t="str">
        <f>IFERROR(VLOOKUP($I157,Atletas!$J:$P,5,FALSE),"")</f>
        <v/>
      </c>
      <c r="K157" s="5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15" t="str">
        <f>IFERROR(HLOOKUP($I$8,Tab_Din_nome!$A$2:$SK$333,152,0),"")</f>
        <v/>
      </c>
      <c r="J158" s="111" t="str">
        <f>IFERROR(VLOOKUP($I158,Atletas!$J:$P,5,FALSE),"")</f>
        <v/>
      </c>
      <c r="K158" s="5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15" t="str">
        <f>IFERROR(HLOOKUP($I$8,Tab_Din_nome!$A$2:$SK$333,153,0),"")</f>
        <v/>
      </c>
      <c r="J159" s="111" t="str">
        <f>IFERROR(VLOOKUP($I159,Atletas!$J:$P,5,FALSE),"")</f>
        <v/>
      </c>
      <c r="K159" s="5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15" t="str">
        <f>IFERROR(HLOOKUP($I$8,Tab_Din_nome!$A$2:$SK$333,154,0),"")</f>
        <v/>
      </c>
      <c r="J160" s="111" t="str">
        <f>IFERROR(VLOOKUP($I160,Atletas!$J:$P,5,FALSE),"")</f>
        <v/>
      </c>
      <c r="K160" s="5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15" t="str">
        <f>IFERROR(HLOOKUP($I$8,Tab_Din_nome!$A$2:$SK$333,155,0),"")</f>
        <v/>
      </c>
      <c r="J161" s="111" t="str">
        <f>IFERROR(VLOOKUP($I161,Atletas!$J:$P,5,FALSE),"")</f>
        <v/>
      </c>
      <c r="K161" s="5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15" t="str">
        <f>IFERROR(HLOOKUP($I$8,Tab_Din_nome!$A$2:$SK$333,156,0),"")</f>
        <v/>
      </c>
      <c r="J162" s="111" t="str">
        <f>IFERROR(VLOOKUP($I162,Atletas!$J:$P,5,FALSE),"")</f>
        <v/>
      </c>
      <c r="K162" s="5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15" t="str">
        <f>IFERROR(HLOOKUP($I$8,Tab_Din_nome!$A$2:$SK$333,157,0),"")</f>
        <v/>
      </c>
      <c r="J163" s="111" t="str">
        <f>IFERROR(VLOOKUP($I163,Atletas!$J:$P,5,FALSE),"")</f>
        <v/>
      </c>
      <c r="K163" s="5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15" t="str">
        <f>IFERROR(HLOOKUP($I$8,Tab_Din_nome!$A$2:$SK$333,158,0),"")</f>
        <v/>
      </c>
      <c r="J164" s="111" t="str">
        <f>IFERROR(VLOOKUP($I164,Atletas!$J:$P,5,FALSE),"")</f>
        <v/>
      </c>
      <c r="K164" s="5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15" t="str">
        <f>IFERROR(HLOOKUP($I$8,Tab_Din_nome!$A$2:$SK$333,159,0),"")</f>
        <v/>
      </c>
      <c r="J165" s="111" t="str">
        <f>IFERROR(VLOOKUP($I165,Atletas!$J:$P,5,FALSE),"")</f>
        <v/>
      </c>
      <c r="K165" s="5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15" t="str">
        <f>IFERROR(HLOOKUP($I$8,Tab_Din_nome!$A$2:$SK$333,160,0),"")</f>
        <v/>
      </c>
      <c r="J166" s="111" t="str">
        <f>IFERROR(VLOOKUP($I166,Atletas!$J:$P,5,FALSE),"")</f>
        <v/>
      </c>
      <c r="K166" s="5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15" t="str">
        <f>IFERROR(HLOOKUP($I$8,Tab_Din_nome!$A$2:$SK$333,161,0),"")</f>
        <v/>
      </c>
      <c r="J167" s="111" t="str">
        <f>IFERROR(VLOOKUP($I167,Atletas!$J:$P,5,FALSE),"")</f>
        <v/>
      </c>
      <c r="K167" s="5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15" t="str">
        <f>IFERROR(HLOOKUP($I$8,Tab_Din_nome!$A$2:$SK$333,162,0),"")</f>
        <v/>
      </c>
      <c r="J168" s="111" t="str">
        <f>IFERROR(VLOOKUP($I168,Atletas!$J:$P,5,FALSE),"")</f>
        <v/>
      </c>
      <c r="K168" s="5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15" t="str">
        <f>IFERROR(HLOOKUP($I$8,Tab_Din_nome!$A$2:$SK$333,163,0),"")</f>
        <v/>
      </c>
      <c r="J169" s="111" t="str">
        <f>IFERROR(VLOOKUP($I169,Atletas!$J:$P,5,FALSE),"")</f>
        <v/>
      </c>
      <c r="K169" s="5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15" t="str">
        <f>IFERROR(HLOOKUP($I$8,Tab_Din_nome!$A$2:$SK$333,164,0),"")</f>
        <v/>
      </c>
      <c r="J170" s="111" t="str">
        <f>IFERROR(VLOOKUP($I170,Atletas!$J:$P,5,FALSE),"")</f>
        <v/>
      </c>
      <c r="K170" s="5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15" t="str">
        <f>IFERROR(HLOOKUP($I$8,Tab_Din_nome!$A$2:$SK$333,165,0),"")</f>
        <v/>
      </c>
      <c r="J171" s="111" t="str">
        <f>IFERROR(VLOOKUP($I171,Atletas!$J:$P,5,FALSE),"")</f>
        <v/>
      </c>
      <c r="K171" s="5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15" t="str">
        <f>IFERROR(HLOOKUP($I$8,Tab_Din_nome!$A$2:$SK$333,166,0),"")</f>
        <v/>
      </c>
      <c r="J172" s="111" t="str">
        <f>IFERROR(VLOOKUP($I172,Atletas!$J:$P,5,FALSE),"")</f>
        <v/>
      </c>
      <c r="K172" s="5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15" t="str">
        <f>IFERROR(HLOOKUP($I$8,Tab_Din_nome!$A$2:$SK$333,167,0),"")</f>
        <v/>
      </c>
      <c r="J173" s="111" t="str">
        <f>IFERROR(VLOOKUP($I173,Atletas!$J:$P,5,FALSE),"")</f>
        <v/>
      </c>
      <c r="K173" s="5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15" t="str">
        <f>IFERROR(HLOOKUP($I$8,Tab_Din_nome!$A$2:$SK$333,168,0),"")</f>
        <v/>
      </c>
      <c r="J174" s="111" t="str">
        <f>IFERROR(VLOOKUP($I174,Atletas!$J:$P,5,FALSE),"")</f>
        <v/>
      </c>
      <c r="K174" s="5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15" t="str">
        <f>IFERROR(HLOOKUP($I$8,Tab_Din_nome!$A$2:$SK$333,169,0),"")</f>
        <v/>
      </c>
      <c r="J175" s="111" t="str">
        <f>IFERROR(VLOOKUP($I175,Atletas!$J:$P,5,FALSE),"")</f>
        <v/>
      </c>
      <c r="K175" s="5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15" t="str">
        <f>IFERROR(HLOOKUP($I$8,Tab_Din_nome!$A$2:$SK$333,170,0),"")</f>
        <v/>
      </c>
      <c r="J176" s="111" t="str">
        <f>IFERROR(VLOOKUP($I176,Atletas!$J:$P,5,FALSE),"")</f>
        <v/>
      </c>
      <c r="K176" s="5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15" t="str">
        <f>IFERROR(HLOOKUP($I$8,Tab_Din_nome!$A$2:$SK$333,171,0),"")</f>
        <v/>
      </c>
      <c r="J177" s="111" t="str">
        <f>IFERROR(VLOOKUP($I177,Atletas!$J:$P,5,FALSE),"")</f>
        <v/>
      </c>
      <c r="K177" s="5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15" t="str">
        <f>IFERROR(HLOOKUP($I$8,Tab_Din_nome!$A$2:$SK$333,172,0),"")</f>
        <v/>
      </c>
      <c r="J178" s="111" t="str">
        <f>IFERROR(VLOOKUP($I178,Atletas!$J:$P,5,FALSE),"")</f>
        <v/>
      </c>
      <c r="K178" s="5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15" t="str">
        <f>IFERROR(HLOOKUP($I$8,Tab_Din_nome!$A$2:$SK$333,173,0),"")</f>
        <v/>
      </c>
      <c r="J179" s="111" t="str">
        <f>IFERROR(VLOOKUP($I179,Atletas!$J:$P,5,FALSE),"")</f>
        <v/>
      </c>
      <c r="K179" s="5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15" t="str">
        <f>IFERROR(HLOOKUP($I$8,Tab_Din_nome!$A$2:$SK$333,174,0),"")</f>
        <v/>
      </c>
      <c r="J180" s="111" t="str">
        <f>IFERROR(VLOOKUP($I180,Atletas!$J:$P,5,FALSE),"")</f>
        <v/>
      </c>
      <c r="K180" s="5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15" t="str">
        <f>IFERROR(HLOOKUP($I$8,Tab_Din_nome!$A$2:$SK$333,175,0),"")</f>
        <v/>
      </c>
      <c r="J181" s="111" t="str">
        <f>IFERROR(VLOOKUP($I181,Atletas!$J:$P,5,FALSE),"")</f>
        <v/>
      </c>
      <c r="K181" s="5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15" t="str">
        <f>IFERROR(HLOOKUP($I$8,Tab_Din_nome!$A$2:$SK$333,176,0),"")</f>
        <v/>
      </c>
      <c r="J182" s="111" t="str">
        <f>IFERROR(VLOOKUP($I182,Atletas!$J:$P,5,FALSE),"")</f>
        <v/>
      </c>
      <c r="K182" s="5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15" t="str">
        <f>IFERROR(HLOOKUP($I$8,Tab_Din_nome!$A$2:$SK$333,177,0),"")</f>
        <v/>
      </c>
      <c r="J183" s="111" t="str">
        <f>IFERROR(VLOOKUP($I183,Atletas!$J:$P,5,FALSE),"")</f>
        <v/>
      </c>
      <c r="K183" s="5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15" t="str">
        <f>IFERROR(HLOOKUP($I$8,Tab_Din_nome!$A$2:$SK$333,178,0),"")</f>
        <v/>
      </c>
      <c r="J184" s="111" t="str">
        <f>IFERROR(VLOOKUP($I184,Atletas!$J:$P,5,FALSE),"")</f>
        <v/>
      </c>
      <c r="K184" s="5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15" t="str">
        <f>IFERROR(HLOOKUP($I$8,Tab_Din_nome!$A$2:$SK$333,179,0),"")</f>
        <v/>
      </c>
      <c r="J185" s="111" t="str">
        <f>IFERROR(VLOOKUP($I185,Atletas!$J:$P,5,FALSE),"")</f>
        <v/>
      </c>
      <c r="K185" s="5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15" t="str">
        <f>IFERROR(HLOOKUP($I$8,Tab_Din_nome!$A$2:$SK$333,180,0),"")</f>
        <v/>
      </c>
      <c r="J186" s="111" t="str">
        <f>IFERROR(VLOOKUP($I186,Atletas!$J:$P,5,FALSE),"")</f>
        <v/>
      </c>
      <c r="K186" s="5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15" t="str">
        <f>IFERROR(HLOOKUP($I$8,Tab_Din_nome!$A$2:$SK$333,181,0),"")</f>
        <v/>
      </c>
      <c r="J187" s="111" t="str">
        <f>IFERROR(VLOOKUP($I187,Atletas!$J:$P,5,FALSE),"")</f>
        <v/>
      </c>
      <c r="K187" s="5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15" t="str">
        <f>IFERROR(HLOOKUP($I$8,Tab_Din_nome!$A$2:$SK$333,182,0),"")</f>
        <v/>
      </c>
      <c r="J188" s="111" t="str">
        <f>IFERROR(VLOOKUP($I188,Atletas!$J:$P,5,FALSE),"")</f>
        <v/>
      </c>
      <c r="K188" s="5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15" t="str">
        <f>IFERROR(HLOOKUP($I$8,Tab_Din_nome!$A$2:$SK$333,183,0),"")</f>
        <v/>
      </c>
      <c r="J189" s="111" t="str">
        <f>IFERROR(VLOOKUP($I189,Atletas!$J:$P,5,FALSE),"")</f>
        <v/>
      </c>
      <c r="K189" s="5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15" t="str">
        <f>IFERROR(HLOOKUP($I$8,Tab_Din_nome!$A$2:$SK$333,184,0),"")</f>
        <v/>
      </c>
      <c r="J190" s="111" t="str">
        <f>IFERROR(VLOOKUP($I190,Atletas!$J:$P,5,FALSE),"")</f>
        <v/>
      </c>
      <c r="K190" s="5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15" t="str">
        <f>IFERROR(HLOOKUP($I$8,Tab_Din_nome!$A$2:$SK$333,185,0),"")</f>
        <v/>
      </c>
      <c r="J191" s="111" t="str">
        <f>IFERROR(VLOOKUP($I191,Atletas!$J:$P,5,FALSE),"")</f>
        <v/>
      </c>
      <c r="K191" s="5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15" t="str">
        <f>IFERROR(HLOOKUP($I$8,Tab_Din_nome!$A$2:$SK$333,186,0),"")</f>
        <v/>
      </c>
      <c r="J192" s="111" t="str">
        <f>IFERROR(VLOOKUP($I192,Atletas!$J:$P,5,FALSE),"")</f>
        <v/>
      </c>
      <c r="K192" s="5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15" t="str">
        <f>IFERROR(HLOOKUP($I$8,Tab_Din_nome!$A$2:$SK$333,187,0),"")</f>
        <v/>
      </c>
      <c r="J193" s="111" t="str">
        <f>IFERROR(VLOOKUP($I193,Atletas!$J:$P,5,FALSE),"")</f>
        <v/>
      </c>
      <c r="K193" s="5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15" t="str">
        <f>IFERROR(HLOOKUP($I$8,Tab_Din_nome!$A$2:$SK$333,188,0),"")</f>
        <v/>
      </c>
      <c r="J194" s="111" t="str">
        <f>IFERROR(VLOOKUP($I194,Atletas!$J:$P,5,FALSE),"")</f>
        <v/>
      </c>
      <c r="K194" s="5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15" t="str">
        <f>IFERROR(HLOOKUP($I$8,Tab_Din_nome!$A$2:$SK$333,189,0),"")</f>
        <v/>
      </c>
      <c r="J195" s="111" t="str">
        <f>IFERROR(VLOOKUP($I195,Atletas!$J:$P,5,FALSE),"")</f>
        <v/>
      </c>
      <c r="K195" s="5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15" t="str">
        <f>IFERROR(HLOOKUP($I$8,Tab_Din_nome!$A$2:$SK$333,190,0),"")</f>
        <v/>
      </c>
      <c r="J196" s="111" t="str">
        <f>IFERROR(VLOOKUP($I196,Atletas!$J:$P,5,FALSE),"")</f>
        <v/>
      </c>
      <c r="K196" s="5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15" t="str">
        <f>IFERROR(HLOOKUP($I$8,Tab_Din_nome!$A$2:$SK$333,191,0),"")</f>
        <v/>
      </c>
      <c r="J197" s="111" t="str">
        <f>IFERROR(VLOOKUP($I197,Atletas!$J:$P,5,FALSE),"")</f>
        <v/>
      </c>
      <c r="K197" s="5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15" t="str">
        <f>IFERROR(HLOOKUP($I$8,Tab_Din_nome!$A$2:$SK$333,192,0),"")</f>
        <v/>
      </c>
      <c r="J198" s="111" t="str">
        <f>IFERROR(VLOOKUP($I198,Atletas!$J:$P,5,FALSE),"")</f>
        <v/>
      </c>
      <c r="K198" s="5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15" t="str">
        <f>IFERROR(HLOOKUP($I$8,Tab_Din_nome!$A$2:$SK$333,193,0),"")</f>
        <v/>
      </c>
      <c r="J199" s="111" t="str">
        <f>IFERROR(VLOOKUP($I199,Atletas!$J:$P,5,FALSE),"")</f>
        <v/>
      </c>
      <c r="K199" s="5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15" t="str">
        <f>IFERROR(HLOOKUP($I$8,Tab_Din_nome!$A$2:$SK$333,194,0),"")</f>
        <v/>
      </c>
      <c r="J200" s="111" t="str">
        <f>IFERROR(VLOOKUP($I200,Atletas!$J:$P,5,FALSE),"")</f>
        <v/>
      </c>
      <c r="K200" s="5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15" t="str">
        <f>IFERROR(HLOOKUP($I$8,Tab_Din_nome!$A$2:$SK$333,195,0),"")</f>
        <v/>
      </c>
      <c r="J201" s="111" t="str">
        <f>IFERROR(VLOOKUP($I201,Atletas!$J:$P,5,FALSE),"")</f>
        <v/>
      </c>
      <c r="K201" s="5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15" t="str">
        <f>IFERROR(HLOOKUP($I$8,Tab_Din_nome!$A$2:$SK$333,196,0),"")</f>
        <v/>
      </c>
      <c r="J202" s="111" t="str">
        <f>IFERROR(VLOOKUP($I202,Atletas!$J:$P,5,FALSE),"")</f>
        <v/>
      </c>
      <c r="K202" s="5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15" t="str">
        <f>IFERROR(HLOOKUP($I$8,Tab_Din_nome!$A$2:$SK$333,197,0),"")</f>
        <v/>
      </c>
      <c r="J203" s="111" t="str">
        <f>IFERROR(VLOOKUP($I203,Atletas!$J:$P,5,FALSE),"")</f>
        <v/>
      </c>
      <c r="K203" s="5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15" t="str">
        <f>IFERROR(HLOOKUP($I$8,Tab_Din_nome!$A$2:$SK$333,198,0),"")</f>
        <v/>
      </c>
      <c r="J204" s="111" t="str">
        <f>IFERROR(VLOOKUP($I204,Atletas!$J:$P,5,FALSE),"")</f>
        <v/>
      </c>
      <c r="K204" s="5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15" t="str">
        <f>IFERROR(HLOOKUP($I$8,Tab_Din_nome!$A$2:$SK$333,199,0),"")</f>
        <v/>
      </c>
      <c r="J205" s="111" t="str">
        <f>IFERROR(VLOOKUP($I205,Atletas!$J:$P,5,FALSE),"")</f>
        <v/>
      </c>
      <c r="K205" s="5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15" t="str">
        <f>IFERROR(HLOOKUP($I$8,Tab_Din_nome!$A$2:$SK$333,200,0),"")</f>
        <v/>
      </c>
      <c r="J206" s="111" t="str">
        <f>IFERROR(VLOOKUP($I206,Atletas!$J:$P,5,FALSE),"")</f>
        <v/>
      </c>
      <c r="K206" s="5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15" t="str">
        <f>IFERROR(HLOOKUP($I$8,Tab_Din_nome!$A$2:$SK$333,201,0),"")</f>
        <v/>
      </c>
      <c r="J207" s="111" t="str">
        <f>IFERROR(VLOOKUP($I207,Atletas!$J:$P,5,FALSE),"")</f>
        <v/>
      </c>
      <c r="K207" s="5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15" t="str">
        <f>IFERROR(HLOOKUP($I$8,Tab_Din_nome!$A$2:$SK$333,202,0),"")</f>
        <v/>
      </c>
      <c r="J208" s="111" t="str">
        <f>IFERROR(VLOOKUP($I208,Atletas!$J:$P,5,FALSE),"")</f>
        <v/>
      </c>
      <c r="K208" s="5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12"/>
      <c r="J209" s="112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12"/>
      <c r="J210" s="112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12"/>
      <c r="J211" s="112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12"/>
      <c r="J212" s="112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12"/>
      <c r="J213" s="112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12"/>
      <c r="J214" s="112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12"/>
      <c r="J215" s="112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12"/>
      <c r="J216" s="112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12"/>
      <c r="J217" s="112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12"/>
      <c r="J218" s="112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12"/>
      <c r="J219" s="112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12"/>
      <c r="J220" s="112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12"/>
      <c r="J221" s="112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12"/>
      <c r="J222" s="112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12"/>
      <c r="J223" s="112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12"/>
      <c r="J224" s="112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12"/>
      <c r="J225" s="112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12"/>
      <c r="J226" s="112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12"/>
      <c r="J227" s="112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12"/>
      <c r="J228" s="112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12"/>
      <c r="J229" s="112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07"/>
      <c r="J230" s="107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07"/>
      <c r="J231" s="107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07"/>
      <c r="J232" s="107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07"/>
      <c r="J233" s="107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07"/>
      <c r="J234" s="107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07"/>
      <c r="J235" s="107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07"/>
      <c r="J236" s="107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07"/>
      <c r="J237" s="107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07"/>
      <c r="J238" s="107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07"/>
      <c r="J239" s="107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07"/>
      <c r="J240" s="107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07"/>
      <c r="J241" s="107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07"/>
      <c r="J242" s="107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07"/>
      <c r="J243" s="107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07"/>
      <c r="J244" s="107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07"/>
      <c r="J245" s="107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07"/>
      <c r="J246" s="107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07"/>
      <c r="J247" s="107"/>
      <c r="K247" s="20"/>
      <c r="L247" s="20"/>
      <c r="M247" s="20"/>
    </row>
    <row r="248" spans="1:14" ht="18" customHeight="1"/>
    <row r="249" spans="1:14" s="8" customFormat="1">
      <c r="I249" s="114"/>
      <c r="J249" s="114"/>
      <c r="N249" s="21"/>
    </row>
    <row r="250" spans="1:14">
      <c r="F250" s="16"/>
      <c r="G250" s="16"/>
    </row>
    <row r="251" spans="1:14" s="8" customFormat="1">
      <c r="F251" s="16"/>
      <c r="G251" s="16"/>
      <c r="I251" s="114"/>
      <c r="J251" s="114"/>
      <c r="N251" s="21"/>
    </row>
    <row r="252" spans="1:14" s="8" customFormat="1">
      <c r="F252" s="16"/>
      <c r="G252" s="16"/>
      <c r="I252" s="114"/>
      <c r="J252" s="114"/>
      <c r="N252" s="21"/>
    </row>
    <row r="253" spans="1:14" s="8" customFormat="1">
      <c r="F253" s="16"/>
      <c r="G253" s="16"/>
      <c r="I253" s="114"/>
      <c r="J253" s="114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14"/>
      <c r="J257" s="114"/>
    </row>
    <row r="258" spans="6:14" s="8" customFormat="1">
      <c r="F258" s="16"/>
      <c r="G258" s="16"/>
      <c r="I258" s="114"/>
      <c r="J258" s="114"/>
      <c r="N258" s="21"/>
    </row>
    <row r="259" spans="6:14" s="8" customFormat="1">
      <c r="F259" s="16"/>
      <c r="G259" s="16"/>
      <c r="I259" s="114"/>
      <c r="J259" s="114"/>
      <c r="N259" s="21"/>
    </row>
    <row r="260" spans="6:14" s="8" customFormat="1">
      <c r="F260" s="16"/>
      <c r="G260" s="16"/>
      <c r="I260" s="114"/>
      <c r="J260" s="114"/>
      <c r="N260" s="21"/>
    </row>
    <row r="261" spans="6:14" s="8" customFormat="1">
      <c r="F261" s="16"/>
      <c r="G261" s="16"/>
      <c r="I261" s="114"/>
      <c r="J261" s="114"/>
    </row>
    <row r="262" spans="6:14" s="8" customFormat="1">
      <c r="F262" s="16"/>
      <c r="G262" s="16"/>
      <c r="I262" s="114"/>
      <c r="J262" s="114"/>
    </row>
    <row r="263" spans="6:14" s="8" customFormat="1">
      <c r="F263" s="16"/>
      <c r="G263" s="16"/>
      <c r="I263" s="114"/>
      <c r="J263" s="114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14"/>
      <c r="J266" s="114"/>
    </row>
    <row r="267" spans="6:14" s="8" customFormat="1">
      <c r="F267" s="16"/>
      <c r="G267" s="16"/>
      <c r="I267" s="114"/>
      <c r="J267" s="114"/>
    </row>
    <row r="268" spans="6:14" s="8" customFormat="1">
      <c r="F268" s="16"/>
      <c r="G268" s="16"/>
      <c r="I268" s="114"/>
      <c r="J268" s="114"/>
      <c r="N268" s="21"/>
    </row>
    <row r="269" spans="6:14" s="8" customFormat="1">
      <c r="F269" s="16"/>
      <c r="G269" s="16"/>
      <c r="I269" s="114"/>
      <c r="J269" s="114"/>
      <c r="N269" s="21"/>
    </row>
    <row r="270" spans="6:14" s="8" customFormat="1">
      <c r="F270" s="16"/>
      <c r="G270" s="16"/>
      <c r="I270" s="114"/>
      <c r="J270" s="114"/>
    </row>
    <row r="271" spans="6:14" s="8" customFormat="1">
      <c r="F271" s="16"/>
      <c r="G271" s="16"/>
      <c r="I271" s="114"/>
      <c r="J271" s="114"/>
    </row>
    <row r="272" spans="6:14" s="8" customFormat="1">
      <c r="F272" s="16"/>
      <c r="G272" s="16"/>
      <c r="I272" s="114"/>
      <c r="J272" s="114"/>
    </row>
    <row r="273" spans="6:10" s="8" customFormat="1">
      <c r="F273" s="16"/>
      <c r="G273" s="16"/>
      <c r="I273" s="114"/>
      <c r="J273" s="114"/>
    </row>
    <row r="274" spans="6:10" s="8" customFormat="1">
      <c r="F274" s="16"/>
      <c r="G274" s="16"/>
      <c r="I274" s="114"/>
      <c r="J274" s="114"/>
    </row>
    <row r="275" spans="6:10" s="8" customFormat="1">
      <c r="F275" s="16"/>
      <c r="G275" s="16"/>
      <c r="I275" s="114"/>
      <c r="J275" s="114"/>
    </row>
    <row r="276" spans="6:10" s="8" customFormat="1">
      <c r="F276" s="16"/>
      <c r="G276" s="16"/>
      <c r="I276" s="114"/>
      <c r="J276" s="114"/>
    </row>
    <row r="277" spans="6:10" s="8" customFormat="1">
      <c r="F277" s="16"/>
      <c r="G277" s="16"/>
      <c r="I277" s="114"/>
      <c r="J277" s="114"/>
    </row>
    <row r="278" spans="6:10" s="8" customFormat="1">
      <c r="F278" s="16"/>
      <c r="G278" s="16"/>
      <c r="I278" s="114"/>
      <c r="J278" s="114"/>
    </row>
    <row r="279" spans="6:10" s="8" customFormat="1">
      <c r="F279" s="16"/>
      <c r="G279" s="16"/>
      <c r="I279" s="114"/>
      <c r="J279" s="114"/>
    </row>
    <row r="280" spans="6:10" s="8" customFormat="1">
      <c r="F280" s="16"/>
      <c r="G280" s="16"/>
      <c r="I280" s="114"/>
      <c r="J280" s="114"/>
    </row>
    <row r="281" spans="6:10" s="8" customFormat="1">
      <c r="F281" s="16"/>
      <c r="G281" s="16"/>
      <c r="I281" s="114"/>
      <c r="J281" s="114"/>
    </row>
    <row r="282" spans="6:10" s="8" customFormat="1">
      <c r="F282" s="16"/>
      <c r="G282" s="16"/>
      <c r="I282" s="114"/>
      <c r="J282" s="114"/>
    </row>
    <row r="283" spans="6:10" s="8" customFormat="1">
      <c r="F283" s="16"/>
      <c r="G283" s="16"/>
      <c r="I283" s="114"/>
      <c r="J283" s="114"/>
    </row>
    <row r="284" spans="6:10" s="8" customFormat="1">
      <c r="F284" s="16"/>
      <c r="G284" s="16"/>
      <c r="I284" s="114"/>
      <c r="J284" s="114"/>
    </row>
    <row r="285" spans="6:10" s="8" customFormat="1">
      <c r="F285" s="16"/>
      <c r="G285" s="16"/>
      <c r="I285" s="114"/>
      <c r="J285" s="114"/>
    </row>
    <row r="286" spans="6:10" s="8" customFormat="1">
      <c r="F286" s="16"/>
      <c r="G286" s="16"/>
      <c r="I286" s="114"/>
      <c r="J286" s="114"/>
    </row>
    <row r="287" spans="6:10" s="8" customFormat="1">
      <c r="F287" s="16"/>
      <c r="G287" s="16"/>
      <c r="I287" s="114"/>
      <c r="J287" s="114"/>
    </row>
    <row r="288" spans="6:10" s="8" customFormat="1">
      <c r="F288" s="16"/>
      <c r="G288" s="16"/>
      <c r="I288" s="114"/>
      <c r="J288" s="114"/>
    </row>
    <row r="289" spans="6:14" s="8" customFormat="1">
      <c r="F289" s="16"/>
      <c r="G289" s="16"/>
      <c r="I289" s="114"/>
      <c r="J289" s="114"/>
    </row>
    <row r="290" spans="6:14" s="8" customFormat="1">
      <c r="F290" s="16"/>
      <c r="G290" s="16"/>
      <c r="I290" s="114"/>
      <c r="J290" s="114"/>
    </row>
    <row r="291" spans="6:14" s="8" customFormat="1">
      <c r="F291" s="16"/>
      <c r="G291" s="16"/>
      <c r="I291" s="114"/>
      <c r="J291" s="114"/>
    </row>
    <row r="292" spans="6:14" s="8" customFormat="1">
      <c r="F292" s="16"/>
      <c r="G292" s="16"/>
      <c r="I292" s="114"/>
      <c r="J292" s="114"/>
    </row>
    <row r="293" spans="6:14" s="8" customFormat="1">
      <c r="F293" s="16"/>
      <c r="G293" s="16"/>
      <c r="I293" s="114"/>
      <c r="J293" s="114"/>
    </row>
    <row r="294" spans="6:14" s="8" customFormat="1">
      <c r="F294" s="16"/>
      <c r="G294" s="16"/>
      <c r="I294" s="114"/>
      <c r="J294" s="114"/>
    </row>
    <row r="295" spans="6:14" s="8" customFormat="1">
      <c r="F295" s="16"/>
      <c r="G295" s="16"/>
      <c r="I295" s="114"/>
      <c r="J295" s="114"/>
    </row>
    <row r="296" spans="6:14" s="8" customFormat="1">
      <c r="F296" s="16"/>
      <c r="G296" s="16"/>
      <c r="I296" s="114"/>
      <c r="J296" s="114"/>
    </row>
    <row r="297" spans="6:14" s="8" customFormat="1">
      <c r="F297" s="16"/>
      <c r="G297" s="16"/>
      <c r="I297" s="114"/>
      <c r="J297" s="114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14"/>
      <c r="J305" s="114"/>
      <c r="N305" s="21"/>
    </row>
    <row r="306" spans="6:14" s="8" customFormat="1">
      <c r="F306" s="16"/>
      <c r="G306" s="16"/>
      <c r="I306" s="114"/>
      <c r="J306" s="114"/>
      <c r="N306" s="21"/>
    </row>
    <row r="307" spans="6:14" s="8" customFormat="1">
      <c r="F307" s="16"/>
      <c r="G307" s="16"/>
      <c r="I307" s="114"/>
      <c r="J307" s="114"/>
      <c r="N307" s="21"/>
    </row>
    <row r="308" spans="6:14" s="8" customFormat="1">
      <c r="F308" s="16"/>
      <c r="G308" s="16"/>
      <c r="I308" s="114"/>
      <c r="J308" s="114"/>
      <c r="N308" s="21"/>
    </row>
    <row r="309" spans="6:14" s="8" customFormat="1">
      <c r="F309" s="16"/>
      <c r="G309" s="16"/>
      <c r="I309" s="114"/>
      <c r="J309" s="114"/>
    </row>
    <row r="310" spans="6:14" s="8" customFormat="1">
      <c r="F310" s="16"/>
      <c r="G310" s="16"/>
      <c r="I310" s="114"/>
      <c r="J310" s="114"/>
    </row>
    <row r="311" spans="6:14" s="8" customFormat="1">
      <c r="F311" s="16"/>
      <c r="G311" s="16"/>
      <c r="I311" s="114"/>
      <c r="J311" s="114"/>
    </row>
    <row r="312" spans="6:14" s="8" customFormat="1">
      <c r="F312" s="16"/>
      <c r="G312" s="16"/>
      <c r="I312" s="114"/>
      <c r="J312" s="114"/>
    </row>
    <row r="313" spans="6:14" s="8" customFormat="1">
      <c r="F313" s="16"/>
      <c r="G313" s="16"/>
      <c r="I313" s="114"/>
      <c r="J313" s="114"/>
    </row>
    <row r="314" spans="6:14" s="8" customFormat="1">
      <c r="F314" s="16"/>
      <c r="G314" s="16"/>
      <c r="I314" s="114"/>
      <c r="J314" s="114"/>
    </row>
    <row r="315" spans="6:14" s="8" customFormat="1">
      <c r="F315" s="16"/>
      <c r="G315" s="16"/>
      <c r="I315" s="114"/>
      <c r="J315" s="114"/>
    </row>
    <row r="316" spans="6:14" s="8" customFormat="1">
      <c r="F316" s="16"/>
      <c r="G316" s="16"/>
      <c r="I316" s="114"/>
      <c r="J316" s="114"/>
    </row>
    <row r="317" spans="6:14" s="8" customFormat="1">
      <c r="F317" s="16"/>
      <c r="G317" s="16"/>
      <c r="I317" s="114"/>
      <c r="J317" s="114"/>
    </row>
    <row r="318" spans="6:14" s="8" customFormat="1">
      <c r="F318" s="16"/>
      <c r="G318" s="16"/>
      <c r="I318" s="114"/>
      <c r="J318" s="114"/>
    </row>
    <row r="319" spans="6:14" s="8" customFormat="1">
      <c r="F319" s="16"/>
      <c r="G319" s="16"/>
      <c r="I319" s="114"/>
      <c r="J319" s="114"/>
    </row>
    <row r="320" spans="6:14" s="8" customFormat="1">
      <c r="F320" s="16"/>
      <c r="G320" s="16"/>
      <c r="I320" s="114"/>
      <c r="J320" s="114"/>
    </row>
    <row r="321" spans="6:10" s="8" customFormat="1">
      <c r="F321" s="16"/>
      <c r="G321" s="16"/>
      <c r="I321" s="114"/>
      <c r="J321" s="114"/>
    </row>
    <row r="322" spans="6:10" s="8" customFormat="1">
      <c r="F322" s="16"/>
      <c r="G322" s="16"/>
      <c r="I322" s="114"/>
      <c r="J322" s="114"/>
    </row>
    <row r="323" spans="6:10" s="8" customFormat="1">
      <c r="F323" s="16"/>
      <c r="G323" s="16"/>
      <c r="I323" s="114"/>
      <c r="J323" s="114"/>
    </row>
    <row r="324" spans="6:10" s="8" customFormat="1">
      <c r="F324" s="16"/>
      <c r="G324" s="16"/>
      <c r="I324" s="114"/>
      <c r="J324" s="114"/>
    </row>
    <row r="325" spans="6:10" s="8" customFormat="1">
      <c r="F325" s="16"/>
      <c r="G325" s="16"/>
      <c r="I325" s="114"/>
      <c r="J325" s="114"/>
    </row>
    <row r="326" spans="6:10" s="8" customFormat="1">
      <c r="F326" s="16"/>
      <c r="G326" s="16"/>
      <c r="I326" s="114"/>
      <c r="J326" s="114"/>
    </row>
    <row r="327" spans="6:10" s="8" customFormat="1">
      <c r="F327" s="16"/>
      <c r="G327" s="16"/>
      <c r="I327" s="114"/>
      <c r="J327" s="114"/>
    </row>
    <row r="328" spans="6:10" s="8" customFormat="1">
      <c r="F328" s="16"/>
      <c r="G328" s="16"/>
      <c r="I328" s="114"/>
      <c r="J328" s="114"/>
    </row>
    <row r="329" spans="6:10" s="8" customFormat="1">
      <c r="F329" s="16"/>
      <c r="G329" s="16"/>
      <c r="I329" s="114"/>
      <c r="J329" s="114"/>
    </row>
    <row r="330" spans="6:10" s="8" customFormat="1">
      <c r="F330" s="16"/>
      <c r="G330" s="16"/>
      <c r="I330" s="114"/>
      <c r="J330" s="114"/>
    </row>
    <row r="331" spans="6:10" s="8" customFormat="1">
      <c r="F331" s="16"/>
      <c r="G331" s="16"/>
      <c r="I331" s="114"/>
      <c r="J331" s="114"/>
    </row>
    <row r="332" spans="6:10" s="8" customFormat="1">
      <c r="F332" s="16"/>
      <c r="G332" s="16"/>
      <c r="I332" s="114"/>
      <c r="J332" s="114"/>
    </row>
    <row r="333" spans="6:10" s="8" customFormat="1">
      <c r="F333" s="16"/>
      <c r="G333" s="16"/>
      <c r="I333" s="114"/>
      <c r="J333" s="114"/>
    </row>
    <row r="334" spans="6:10" s="8" customFormat="1">
      <c r="F334" s="16"/>
      <c r="G334" s="16"/>
      <c r="I334" s="114"/>
      <c r="J334" s="114"/>
    </row>
    <row r="335" spans="6:10" s="8" customFormat="1">
      <c r="F335" s="16"/>
      <c r="G335" s="16"/>
      <c r="I335" s="114"/>
      <c r="J335" s="114"/>
    </row>
    <row r="336" spans="6:10" s="8" customFormat="1">
      <c r="F336" s="16"/>
      <c r="G336" s="16"/>
      <c r="I336" s="114"/>
      <c r="J336" s="114"/>
    </row>
    <row r="337" spans="6:10" s="8" customFormat="1">
      <c r="F337" s="16"/>
      <c r="G337" s="16"/>
      <c r="I337" s="114"/>
      <c r="J337" s="114"/>
    </row>
    <row r="338" spans="6:10" s="8" customFormat="1">
      <c r="F338" s="16"/>
      <c r="G338" s="16"/>
      <c r="I338" s="114"/>
      <c r="J338" s="114"/>
    </row>
    <row r="339" spans="6:10" s="8" customFormat="1">
      <c r="F339" s="16"/>
      <c r="G339" s="16"/>
      <c r="I339" s="114"/>
      <c r="J339" s="114"/>
    </row>
    <row r="340" spans="6:10" s="8" customFormat="1">
      <c r="F340" s="16"/>
      <c r="G340" s="16"/>
      <c r="I340" s="114"/>
      <c r="J340" s="114"/>
    </row>
    <row r="341" spans="6:10" s="8" customFormat="1">
      <c r="F341" s="16"/>
      <c r="G341" s="16"/>
      <c r="I341" s="114"/>
      <c r="J341" s="114"/>
    </row>
    <row r="342" spans="6:10" s="8" customFormat="1">
      <c r="F342" s="16"/>
      <c r="G342" s="16"/>
      <c r="I342" s="114"/>
      <c r="J342" s="114"/>
    </row>
    <row r="343" spans="6:10" s="8" customFormat="1">
      <c r="F343" s="16"/>
      <c r="G343" s="16"/>
      <c r="I343" s="114"/>
      <c r="J343" s="114"/>
    </row>
    <row r="344" spans="6:10" s="8" customFormat="1">
      <c r="F344" s="16"/>
      <c r="G344" s="16"/>
      <c r="I344" s="114"/>
      <c r="J344" s="114"/>
    </row>
    <row r="345" spans="6:10" s="8" customFormat="1">
      <c r="F345" s="16"/>
      <c r="G345" s="16"/>
      <c r="I345" s="114"/>
      <c r="J345" s="114"/>
    </row>
    <row r="346" spans="6:10" s="8" customFormat="1">
      <c r="F346" s="16"/>
      <c r="G346" s="16"/>
      <c r="I346" s="114"/>
      <c r="J346" s="114"/>
    </row>
    <row r="347" spans="6:10" s="8" customFormat="1">
      <c r="F347" s="16"/>
      <c r="G347" s="16"/>
      <c r="I347" s="114"/>
      <c r="J347" s="114"/>
    </row>
    <row r="348" spans="6:10" s="8" customFormat="1">
      <c r="F348" s="16"/>
      <c r="G348" s="16"/>
      <c r="I348" s="114"/>
      <c r="J348" s="114"/>
    </row>
    <row r="349" spans="6:10" s="8" customFormat="1">
      <c r="F349" s="16"/>
      <c r="G349" s="16"/>
      <c r="I349" s="114"/>
      <c r="J349" s="114"/>
    </row>
    <row r="350" spans="6:10" s="8" customFormat="1">
      <c r="F350" s="16"/>
      <c r="G350" s="16"/>
      <c r="I350" s="114"/>
      <c r="J350" s="114"/>
    </row>
    <row r="351" spans="6:10" s="8" customFormat="1">
      <c r="F351" s="16"/>
      <c r="G351" s="16"/>
      <c r="I351" s="114"/>
      <c r="J351" s="114"/>
    </row>
    <row r="352" spans="6:10" s="8" customFormat="1">
      <c r="F352" s="16"/>
      <c r="G352" s="16"/>
      <c r="I352" s="114"/>
      <c r="J352" s="114"/>
    </row>
    <row r="353" spans="6:10" s="8" customFormat="1">
      <c r="F353" s="16"/>
      <c r="G353" s="16"/>
      <c r="I353" s="114"/>
      <c r="J353" s="114"/>
    </row>
    <row r="354" spans="6:10" s="8" customFormat="1">
      <c r="F354" s="16"/>
      <c r="G354" s="16"/>
      <c r="I354" s="114"/>
      <c r="J354" s="114"/>
    </row>
    <row r="355" spans="6:10" s="8" customFormat="1">
      <c r="F355" s="16"/>
      <c r="G355" s="16"/>
      <c r="I355" s="114"/>
      <c r="J355" s="114"/>
    </row>
    <row r="356" spans="6:10" s="8" customFormat="1">
      <c r="F356" s="16"/>
      <c r="G356" s="16"/>
      <c r="I356" s="114"/>
      <c r="J356" s="114"/>
    </row>
    <row r="357" spans="6:10" s="8" customFormat="1">
      <c r="F357" s="16"/>
      <c r="G357" s="16"/>
      <c r="I357" s="114"/>
      <c r="J357" s="114"/>
    </row>
    <row r="358" spans="6:10" s="8" customFormat="1">
      <c r="F358" s="16"/>
      <c r="G358" s="16"/>
      <c r="I358" s="114"/>
      <c r="J358" s="114"/>
    </row>
    <row r="359" spans="6:10" s="8" customFormat="1">
      <c r="F359" s="16"/>
      <c r="G359" s="16"/>
      <c r="I359" s="114"/>
      <c r="J359" s="114"/>
    </row>
    <row r="360" spans="6:10" s="8" customFormat="1">
      <c r="F360" s="16"/>
      <c r="G360" s="16"/>
      <c r="I360" s="114"/>
      <c r="J360" s="114"/>
    </row>
    <row r="361" spans="6:10" s="8" customFormat="1">
      <c r="F361" s="16"/>
      <c r="G361" s="16"/>
      <c r="I361" s="114"/>
      <c r="J361" s="114"/>
    </row>
    <row r="362" spans="6:10" s="8" customFormat="1">
      <c r="F362" s="16"/>
      <c r="G362" s="16"/>
      <c r="I362" s="114"/>
      <c r="J362" s="114"/>
    </row>
    <row r="363" spans="6:10" s="8" customFormat="1">
      <c r="F363" s="16"/>
      <c r="G363" s="16"/>
      <c r="I363" s="114"/>
      <c r="J363" s="114"/>
    </row>
    <row r="364" spans="6:10" s="8" customFormat="1">
      <c r="F364" s="16"/>
      <c r="G364" s="16"/>
      <c r="I364" s="114"/>
      <c r="J364" s="114"/>
    </row>
    <row r="365" spans="6:10" s="8" customFormat="1">
      <c r="F365" s="16"/>
      <c r="G365" s="16"/>
      <c r="I365" s="114"/>
      <c r="J365" s="114"/>
    </row>
    <row r="366" spans="6:10" s="8" customFormat="1">
      <c r="F366" s="16"/>
      <c r="G366" s="16"/>
      <c r="I366" s="114"/>
      <c r="J366" s="114"/>
    </row>
    <row r="367" spans="6:10" s="8" customFormat="1">
      <c r="F367" s="16"/>
      <c r="G367" s="16"/>
      <c r="I367" s="114"/>
      <c r="J367" s="114"/>
    </row>
    <row r="368" spans="6:10" s="8" customFormat="1">
      <c r="F368" s="16"/>
      <c r="G368" s="16"/>
      <c r="I368" s="114"/>
      <c r="J368" s="114"/>
    </row>
    <row r="369" spans="1:10" s="8" customFormat="1">
      <c r="F369" s="16"/>
      <c r="G369" s="16"/>
      <c r="I369" s="114"/>
      <c r="J369" s="114"/>
    </row>
    <row r="370" spans="1:10" s="8" customFormat="1">
      <c r="F370" s="16"/>
      <c r="G370" s="16"/>
      <c r="I370" s="114"/>
      <c r="J370" s="114"/>
    </row>
    <row r="371" spans="1:10" s="8" customFormat="1">
      <c r="F371" s="16"/>
      <c r="G371" s="16"/>
      <c r="I371" s="114"/>
      <c r="J371" s="114"/>
    </row>
    <row r="372" spans="1:10" s="8" customFormat="1">
      <c r="F372" s="16"/>
      <c r="G372" s="16"/>
      <c r="I372" s="114"/>
      <c r="J372" s="114"/>
    </row>
    <row r="373" spans="1:10" s="8" customFormat="1">
      <c r="F373" s="16"/>
      <c r="G373" s="16"/>
      <c r="I373" s="114"/>
      <c r="J373" s="114"/>
    </row>
    <row r="374" spans="1:10" s="8" customFormat="1">
      <c r="F374" s="16"/>
      <c r="G374" s="16"/>
      <c r="I374" s="114"/>
      <c r="J374" s="114"/>
    </row>
    <row r="375" spans="1:10" s="8" customFormat="1">
      <c r="F375" s="16"/>
      <c r="G375" s="16"/>
      <c r="I375" s="114"/>
      <c r="J375" s="114"/>
    </row>
    <row r="376" spans="1:10" s="8" customFormat="1">
      <c r="F376" s="16"/>
      <c r="G376" s="16"/>
      <c r="I376" s="114"/>
      <c r="J376" s="114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14"/>
      <c r="J377" s="114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14"/>
      <c r="J378" s="114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14"/>
      <c r="J379" s="114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14"/>
      <c r="J380" s="114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14"/>
      <c r="J381" s="114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14"/>
      <c r="J382" s="114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14"/>
      <c r="J383" s="114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14"/>
      <c r="J384" s="114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14"/>
      <c r="J385" s="114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14"/>
      <c r="J386" s="114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14"/>
      <c r="J387" s="114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14"/>
      <c r="J388" s="114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14"/>
      <c r="J389" s="114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14"/>
      <c r="J390" s="114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14"/>
      <c r="J391" s="114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14"/>
      <c r="J392" s="114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14"/>
      <c r="J393" s="114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14"/>
      <c r="J394" s="114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14"/>
      <c r="J395" s="114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14"/>
      <c r="J396" s="114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14"/>
      <c r="J397" s="114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14"/>
      <c r="J398" s="114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14"/>
      <c r="J399" s="114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14"/>
      <c r="J400" s="114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14"/>
      <c r="J401" s="114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14"/>
      <c r="J402" s="114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14"/>
      <c r="J403" s="114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14"/>
      <c r="J404" s="114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14"/>
      <c r="J405" s="114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14"/>
      <c r="J406" s="114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14"/>
      <c r="J407" s="114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14"/>
      <c r="J408" s="114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14"/>
      <c r="J409" s="114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14"/>
      <c r="J410" s="114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14"/>
      <c r="J411" s="114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14"/>
      <c r="J412" s="114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14"/>
      <c r="J413" s="114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14"/>
      <c r="J414" s="114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14"/>
      <c r="J415" s="114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14"/>
      <c r="J416" s="114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14"/>
      <c r="J417" s="114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14"/>
      <c r="J418" s="114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14"/>
      <c r="J419" s="114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14"/>
      <c r="J420" s="114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14"/>
      <c r="J421" s="114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14"/>
      <c r="J422" s="114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14"/>
      <c r="J423" s="114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14"/>
      <c r="J424" s="114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14"/>
      <c r="J425" s="114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14"/>
      <c r="J426" s="114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14"/>
      <c r="J427" s="114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14"/>
      <c r="J428" s="114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14"/>
      <c r="J429" s="114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14"/>
      <c r="J430" s="114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14"/>
      <c r="J431" s="114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14"/>
      <c r="J432" s="114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14"/>
      <c r="J433" s="114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14"/>
      <c r="J434" s="114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14"/>
      <c r="J435" s="114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14"/>
      <c r="J436" s="114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14"/>
      <c r="J437" s="114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14"/>
      <c r="J438" s="114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14"/>
      <c r="J439" s="114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14"/>
      <c r="J440" s="114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14"/>
      <c r="J441" s="114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14"/>
      <c r="J442" s="114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14"/>
      <c r="J443" s="114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14"/>
      <c r="J444" s="114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14"/>
      <c r="J445" s="114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14"/>
      <c r="J446" s="114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14"/>
      <c r="J447" s="114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14"/>
      <c r="J448" s="114"/>
    </row>
    <row r="449" spans="9:10" s="8" customFormat="1">
      <c r="I449" s="114"/>
      <c r="J449" s="114"/>
    </row>
    <row r="450" spans="9:10" s="8" customFormat="1">
      <c r="I450" s="114"/>
      <c r="J450" s="114"/>
    </row>
    <row r="451" spans="9:10" s="8" customFormat="1">
      <c r="I451" s="114"/>
      <c r="J451" s="114"/>
    </row>
    <row r="452" spans="9:10" s="8" customFormat="1">
      <c r="I452" s="114"/>
      <c r="J452" s="114"/>
    </row>
    <row r="453" spans="9:10" s="8" customFormat="1">
      <c r="I453" s="114"/>
      <c r="J453" s="114"/>
    </row>
    <row r="454" spans="9:10" s="8" customFormat="1">
      <c r="I454" s="114"/>
      <c r="J454" s="114"/>
    </row>
    <row r="455" spans="9:10" s="8" customFormat="1">
      <c r="I455" s="114"/>
      <c r="J455" s="114"/>
    </row>
    <row r="456" spans="9:10" s="8" customFormat="1">
      <c r="I456" s="114"/>
      <c r="J456" s="114"/>
    </row>
    <row r="457" spans="9:10" s="8" customFormat="1">
      <c r="I457" s="114"/>
      <c r="J457" s="114"/>
    </row>
    <row r="458" spans="9:10" s="8" customFormat="1">
      <c r="I458" s="114"/>
      <c r="J458" s="114"/>
    </row>
    <row r="459" spans="9:10" s="8" customFormat="1">
      <c r="I459" s="114"/>
      <c r="J459" s="114"/>
    </row>
    <row r="460" spans="9:10" s="8" customFormat="1">
      <c r="I460" s="114"/>
      <c r="J460" s="114"/>
    </row>
    <row r="461" spans="9:10" s="8" customFormat="1">
      <c r="I461" s="114"/>
      <c r="J461" s="114"/>
    </row>
    <row r="462" spans="9:10" s="8" customFormat="1">
      <c r="I462" s="114"/>
      <c r="J462" s="114"/>
    </row>
    <row r="463" spans="9:10" s="8" customFormat="1">
      <c r="I463" s="114"/>
      <c r="J463" s="114"/>
    </row>
    <row r="464" spans="9:10" s="8" customFormat="1">
      <c r="I464" s="114"/>
      <c r="J464" s="114"/>
    </row>
    <row r="465" spans="9:10" s="8" customFormat="1">
      <c r="I465" s="114"/>
      <c r="J465" s="114"/>
    </row>
    <row r="466" spans="9:10" s="8" customFormat="1">
      <c r="I466" s="114"/>
      <c r="J466" s="114"/>
    </row>
    <row r="467" spans="9:10" s="8" customFormat="1">
      <c r="I467" s="114"/>
      <c r="J467" s="114"/>
    </row>
    <row r="468" spans="9:10" s="8" customFormat="1">
      <c r="I468" s="114"/>
      <c r="J468" s="114"/>
    </row>
    <row r="469" spans="9:10" s="8" customFormat="1">
      <c r="I469" s="114"/>
      <c r="J469" s="114"/>
    </row>
    <row r="470" spans="9:10" s="8" customFormat="1">
      <c r="I470" s="114"/>
      <c r="J470" s="114"/>
    </row>
    <row r="471" spans="9:10" s="8" customFormat="1">
      <c r="I471" s="114"/>
      <c r="J471" s="114"/>
    </row>
    <row r="472" spans="9:10" s="8" customFormat="1">
      <c r="I472" s="114"/>
      <c r="J472" s="114"/>
    </row>
    <row r="473" spans="9:10" s="8" customFormat="1">
      <c r="I473" s="114"/>
      <c r="J473" s="114"/>
    </row>
    <row r="474" spans="9:10" s="8" customFormat="1">
      <c r="I474" s="114"/>
      <c r="J474" s="114"/>
    </row>
    <row r="475" spans="9:10" s="8" customFormat="1">
      <c r="I475" s="114"/>
      <c r="J475" s="114"/>
    </row>
    <row r="476" spans="9:10" s="8" customFormat="1">
      <c r="I476" s="114"/>
      <c r="J476" s="114"/>
    </row>
    <row r="477" spans="9:10" s="8" customFormat="1">
      <c r="I477" s="114"/>
      <c r="J477" s="114"/>
    </row>
    <row r="478" spans="9:10" s="8" customFormat="1">
      <c r="I478" s="114"/>
      <c r="J478" s="114"/>
    </row>
    <row r="479" spans="9:10" s="8" customFormat="1">
      <c r="I479" s="114"/>
      <c r="J479" s="114"/>
    </row>
    <row r="480" spans="9:10" s="8" customFormat="1">
      <c r="I480" s="114"/>
      <c r="J480" s="114"/>
    </row>
    <row r="481" spans="9:10" s="8" customFormat="1">
      <c r="I481" s="114"/>
      <c r="J481" s="114"/>
    </row>
    <row r="482" spans="9:10" s="8" customFormat="1">
      <c r="I482" s="114"/>
      <c r="J482" s="114"/>
    </row>
    <row r="483" spans="9:10" s="8" customFormat="1">
      <c r="I483" s="114"/>
      <c r="J483" s="114"/>
    </row>
    <row r="484" spans="9:10" s="8" customFormat="1">
      <c r="I484" s="114"/>
      <c r="J484" s="114"/>
    </row>
    <row r="485" spans="9:10" s="8" customFormat="1">
      <c r="I485" s="114"/>
      <c r="J485" s="114"/>
    </row>
    <row r="486" spans="9:10" s="8" customFormat="1">
      <c r="I486" s="114"/>
      <c r="J486" s="114"/>
    </row>
    <row r="487" spans="9:10" s="8" customFormat="1">
      <c r="I487" s="114"/>
      <c r="J487" s="114"/>
    </row>
    <row r="488" spans="9:10" s="8" customFormat="1">
      <c r="I488" s="114"/>
      <c r="J488" s="114"/>
    </row>
    <row r="489" spans="9:10" s="8" customFormat="1">
      <c r="I489" s="114"/>
      <c r="J489" s="114"/>
    </row>
    <row r="490" spans="9:10" s="8" customFormat="1">
      <c r="I490" s="114"/>
      <c r="J490" s="114"/>
    </row>
    <row r="491" spans="9:10" s="8" customFormat="1">
      <c r="I491" s="114"/>
      <c r="J491" s="114"/>
    </row>
    <row r="492" spans="9:10" s="8" customFormat="1">
      <c r="I492" s="114"/>
      <c r="J492" s="114"/>
    </row>
    <row r="493" spans="9:10" s="8" customFormat="1">
      <c r="I493" s="114"/>
      <c r="J493" s="114"/>
    </row>
    <row r="494" spans="9:10" s="8" customFormat="1">
      <c r="I494" s="114"/>
      <c r="J494" s="114"/>
    </row>
    <row r="495" spans="9:10" s="8" customFormat="1">
      <c r="I495" s="114"/>
      <c r="J495" s="114"/>
    </row>
    <row r="496" spans="9:10" s="8" customFormat="1">
      <c r="I496" s="114"/>
      <c r="J496" s="114"/>
    </row>
    <row r="497" spans="9:10" s="8" customFormat="1">
      <c r="I497" s="114"/>
      <c r="J497" s="114"/>
    </row>
    <row r="498" spans="9:10" s="8" customFormat="1">
      <c r="I498" s="114"/>
      <c r="J498" s="114"/>
    </row>
    <row r="499" spans="9:10" s="8" customFormat="1">
      <c r="I499" s="114"/>
      <c r="J499" s="114"/>
    </row>
    <row r="500" spans="9:10" s="8" customFormat="1">
      <c r="I500" s="114"/>
      <c r="J500" s="114"/>
    </row>
    <row r="501" spans="9:10" s="8" customFormat="1">
      <c r="I501" s="114"/>
      <c r="J501" s="114"/>
    </row>
    <row r="502" spans="9:10" s="8" customFormat="1">
      <c r="I502" s="114"/>
      <c r="J502" s="114"/>
    </row>
    <row r="503" spans="9:10" s="8" customFormat="1">
      <c r="I503" s="114"/>
      <c r="J503" s="114"/>
    </row>
    <row r="504" spans="9:10" s="8" customFormat="1">
      <c r="I504" s="114"/>
      <c r="J504" s="114"/>
    </row>
    <row r="505" spans="9:10" s="8" customFormat="1">
      <c r="I505" s="114"/>
      <c r="J505" s="114"/>
    </row>
    <row r="506" spans="9:10" s="8" customFormat="1">
      <c r="I506" s="114"/>
      <c r="J506" s="114"/>
    </row>
    <row r="507" spans="9:10" s="8" customFormat="1">
      <c r="I507" s="114"/>
      <c r="J507" s="114"/>
    </row>
    <row r="508" spans="9:10" s="8" customFormat="1">
      <c r="I508" s="114"/>
      <c r="J508" s="114"/>
    </row>
    <row r="509" spans="9:10" s="8" customFormat="1">
      <c r="I509" s="114"/>
      <c r="J509" s="114"/>
    </row>
    <row r="510" spans="9:10" s="8" customFormat="1">
      <c r="I510" s="114"/>
      <c r="J510" s="114"/>
    </row>
    <row r="511" spans="9:10" s="8" customFormat="1">
      <c r="I511" s="114"/>
      <c r="J511" s="114"/>
    </row>
    <row r="512" spans="9:10" s="8" customFormat="1">
      <c r="I512" s="114"/>
      <c r="J512" s="114"/>
    </row>
    <row r="513" spans="9:10" s="8" customFormat="1">
      <c r="I513" s="114"/>
      <c r="J513" s="114"/>
    </row>
    <row r="514" spans="9:10" s="8" customFormat="1">
      <c r="I514" s="114"/>
      <c r="J514" s="114"/>
    </row>
    <row r="515" spans="9:10" s="8" customFormat="1">
      <c r="I515" s="114"/>
      <c r="J515" s="114"/>
    </row>
    <row r="516" spans="9:10" s="8" customFormat="1">
      <c r="I516" s="114"/>
      <c r="J516" s="114"/>
    </row>
    <row r="517" spans="9:10" s="8" customFormat="1">
      <c r="I517" s="114"/>
      <c r="J517" s="114"/>
    </row>
    <row r="518" spans="9:10" s="8" customFormat="1">
      <c r="I518" s="114"/>
      <c r="J518" s="114"/>
    </row>
    <row r="519" spans="9:10" s="8" customFormat="1">
      <c r="I519" s="114"/>
      <c r="J519" s="114"/>
    </row>
    <row r="520" spans="9:10" s="8" customFormat="1">
      <c r="I520" s="114"/>
      <c r="J520" s="114"/>
    </row>
    <row r="521" spans="9:10" s="8" customFormat="1">
      <c r="I521" s="114"/>
      <c r="J521" s="114"/>
    </row>
    <row r="522" spans="9:10" s="8" customFormat="1">
      <c r="I522" s="114"/>
      <c r="J522" s="114"/>
    </row>
    <row r="523" spans="9:10" s="8" customFormat="1">
      <c r="I523" s="114"/>
      <c r="J523" s="114"/>
    </row>
    <row r="524" spans="9:10" s="8" customFormat="1">
      <c r="I524" s="114"/>
      <c r="J524" s="114"/>
    </row>
    <row r="525" spans="9:10" s="8" customFormat="1">
      <c r="I525" s="114"/>
      <c r="J525" s="114"/>
    </row>
    <row r="526" spans="9:10" s="8" customFormat="1">
      <c r="I526" s="114"/>
      <c r="J526" s="114"/>
    </row>
    <row r="527" spans="9:10" s="8" customFormat="1">
      <c r="I527" s="114"/>
      <c r="J527" s="114"/>
    </row>
    <row r="528" spans="9:10" s="8" customFormat="1">
      <c r="I528" s="114"/>
      <c r="J528" s="114"/>
    </row>
    <row r="529" spans="9:10" s="8" customFormat="1">
      <c r="I529" s="114"/>
      <c r="J529" s="114"/>
    </row>
    <row r="530" spans="9:10" s="8" customFormat="1">
      <c r="I530" s="114"/>
      <c r="J530" s="114"/>
    </row>
    <row r="531" spans="9:10" s="8" customFormat="1">
      <c r="I531" s="114"/>
      <c r="J531" s="114"/>
    </row>
    <row r="532" spans="9:10" s="8" customFormat="1">
      <c r="I532" s="114"/>
      <c r="J532" s="114"/>
    </row>
    <row r="533" spans="9:10" s="8" customFormat="1">
      <c r="I533" s="114"/>
      <c r="J533" s="114"/>
    </row>
    <row r="534" spans="9:10" s="8" customFormat="1">
      <c r="I534" s="114"/>
      <c r="J534" s="114"/>
    </row>
    <row r="535" spans="9:10" s="8" customFormat="1">
      <c r="I535" s="114"/>
      <c r="J535" s="114"/>
    </row>
    <row r="536" spans="9:10" s="8" customFormat="1">
      <c r="I536" s="114"/>
      <c r="J536" s="114"/>
    </row>
    <row r="537" spans="9:10" s="8" customFormat="1">
      <c r="I537" s="114"/>
      <c r="J537" s="114"/>
    </row>
    <row r="538" spans="9:10" s="8" customFormat="1">
      <c r="I538" s="114"/>
      <c r="J538" s="114"/>
    </row>
    <row r="539" spans="9:10" s="8" customFormat="1">
      <c r="I539" s="114"/>
      <c r="J539" s="114"/>
    </row>
    <row r="540" spans="9:10" s="8" customFormat="1">
      <c r="I540" s="114"/>
      <c r="J540" s="114"/>
    </row>
    <row r="541" spans="9:10" s="8" customFormat="1">
      <c r="I541" s="114"/>
      <c r="J541" s="114"/>
    </row>
    <row r="542" spans="9:10" s="8" customFormat="1">
      <c r="I542" s="114"/>
      <c r="J542" s="114"/>
    </row>
    <row r="543" spans="9:10" s="8" customFormat="1">
      <c r="I543" s="114"/>
      <c r="J543" s="114"/>
    </row>
    <row r="544" spans="9:10" s="8" customFormat="1">
      <c r="I544" s="114"/>
      <c r="J544" s="114"/>
    </row>
    <row r="545" spans="9:10" s="8" customFormat="1">
      <c r="I545" s="114"/>
      <c r="J545" s="114"/>
    </row>
    <row r="546" spans="9:10" s="8" customFormat="1">
      <c r="I546" s="114"/>
      <c r="J546" s="114"/>
    </row>
    <row r="547" spans="9:10" s="8" customFormat="1">
      <c r="I547" s="114"/>
      <c r="J547" s="114"/>
    </row>
    <row r="548" spans="9:10" s="8" customFormat="1">
      <c r="I548" s="114"/>
      <c r="J548" s="114"/>
    </row>
    <row r="549" spans="9:10" s="8" customFormat="1">
      <c r="I549" s="114"/>
      <c r="J549" s="114"/>
    </row>
    <row r="550" spans="9:10" s="8" customFormat="1">
      <c r="I550" s="114"/>
      <c r="J550" s="114"/>
    </row>
    <row r="551" spans="9:10" s="8" customFormat="1">
      <c r="I551" s="114"/>
      <c r="J551" s="114"/>
    </row>
    <row r="552" spans="9:10" s="8" customFormat="1">
      <c r="I552" s="114"/>
      <c r="J552" s="114"/>
    </row>
    <row r="553" spans="9:10" s="8" customFormat="1">
      <c r="I553" s="114"/>
      <c r="J553" s="114"/>
    </row>
    <row r="554" spans="9:10" s="8" customFormat="1">
      <c r="I554" s="114"/>
      <c r="J554" s="114"/>
    </row>
    <row r="555" spans="9:10" s="8" customFormat="1">
      <c r="I555" s="114"/>
      <c r="J555" s="114"/>
    </row>
    <row r="556" spans="9:10" s="8" customFormat="1">
      <c r="I556" s="114"/>
      <c r="J556" s="114"/>
    </row>
    <row r="557" spans="9:10" s="8" customFormat="1">
      <c r="I557" s="114"/>
      <c r="J557" s="114"/>
    </row>
    <row r="558" spans="9:10" s="8" customFormat="1">
      <c r="I558" s="114"/>
      <c r="J558" s="114"/>
    </row>
    <row r="559" spans="9:10" s="8" customFormat="1">
      <c r="I559" s="114"/>
      <c r="J559" s="114"/>
    </row>
    <row r="560" spans="9:10" s="8" customFormat="1">
      <c r="I560" s="114"/>
      <c r="J560" s="114"/>
    </row>
    <row r="561" spans="9:14" s="8" customFormat="1">
      <c r="I561" s="114"/>
      <c r="J561" s="114"/>
    </row>
    <row r="562" spans="9:14" s="8" customFormat="1">
      <c r="I562" s="114"/>
      <c r="J562" s="114"/>
    </row>
    <row r="563" spans="9:14" s="8" customFormat="1">
      <c r="I563" s="114"/>
      <c r="J563" s="114"/>
    </row>
    <row r="564" spans="9:14" s="8" customFormat="1">
      <c r="I564" s="114"/>
      <c r="J564" s="114"/>
    </row>
    <row r="565" spans="9:14" s="8" customFormat="1">
      <c r="I565" s="114"/>
      <c r="J565" s="114"/>
    </row>
    <row r="566" spans="9:14" s="8" customFormat="1">
      <c r="I566" s="114"/>
      <c r="J566" s="114"/>
    </row>
    <row r="567" spans="9:14" s="8" customFormat="1">
      <c r="I567" s="114"/>
      <c r="J567" s="114"/>
    </row>
    <row r="568" spans="9:14" s="8" customFormat="1">
      <c r="I568" s="114"/>
      <c r="J568" s="114"/>
    </row>
    <row r="569" spans="9:14" s="8" customFormat="1">
      <c r="I569" s="114"/>
      <c r="J569" s="114"/>
    </row>
    <row r="570" spans="9:14" s="8" customFormat="1">
      <c r="I570" s="114"/>
      <c r="J570" s="114"/>
    </row>
    <row r="571" spans="9:14" s="8" customFormat="1">
      <c r="I571" s="114"/>
      <c r="J571" s="114"/>
    </row>
    <row r="572" spans="9:14" s="8" customFormat="1">
      <c r="I572" s="114"/>
      <c r="J572" s="114"/>
    </row>
    <row r="573" spans="9:14" s="8" customFormat="1">
      <c r="I573" s="114"/>
      <c r="J573" s="114"/>
    </row>
    <row r="574" spans="9:14" s="8" customFormat="1">
      <c r="I574" s="114"/>
      <c r="J574" s="114"/>
    </row>
    <row r="575" spans="9:14" s="8" customFormat="1">
      <c r="I575" s="114"/>
      <c r="J575" s="114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14"/>
      <c r="J646" s="114"/>
      <c r="N646" s="21"/>
    </row>
    <row r="647" spans="9:14" s="8" customFormat="1">
      <c r="I647" s="114"/>
      <c r="J647" s="114"/>
      <c r="N647" s="21"/>
    </row>
    <row r="648" spans="9:14" s="8" customFormat="1">
      <c r="I648" s="114"/>
      <c r="J648" s="114"/>
      <c r="N648" s="21"/>
    </row>
    <row r="649" spans="9:14" s="8" customFormat="1">
      <c r="I649" s="114"/>
      <c r="J649" s="114"/>
      <c r="N649" s="21"/>
    </row>
    <row r="650" spans="9:14" s="8" customFormat="1">
      <c r="I650" s="114"/>
      <c r="J650" s="114"/>
    </row>
    <row r="651" spans="9:14" s="8" customFormat="1">
      <c r="I651" s="114"/>
      <c r="J651" s="114"/>
    </row>
    <row r="652" spans="9:14" s="8" customFormat="1">
      <c r="I652" s="114"/>
      <c r="J652" s="114"/>
    </row>
    <row r="653" spans="9:14" s="8" customFormat="1">
      <c r="I653" s="114"/>
      <c r="J653" s="114"/>
    </row>
    <row r="654" spans="9:14" s="8" customFormat="1">
      <c r="I654" s="114"/>
      <c r="J654" s="114"/>
    </row>
    <row r="655" spans="9:14" s="8" customFormat="1">
      <c r="I655" s="114"/>
      <c r="J655" s="114"/>
    </row>
    <row r="656" spans="9:14" s="8" customFormat="1">
      <c r="I656" s="114"/>
      <c r="J656" s="114"/>
    </row>
    <row r="657" spans="9:10" s="8" customFormat="1">
      <c r="I657" s="114"/>
      <c r="J657" s="114"/>
    </row>
    <row r="658" spans="9:10" s="8" customFormat="1">
      <c r="I658" s="114"/>
      <c r="J658" s="114"/>
    </row>
    <row r="659" spans="9:10" s="8" customFormat="1">
      <c r="I659" s="114"/>
      <c r="J659" s="114"/>
    </row>
    <row r="660" spans="9:10" s="8" customFormat="1">
      <c r="I660" s="114"/>
      <c r="J660" s="114"/>
    </row>
    <row r="661" spans="9:10" s="8" customFormat="1">
      <c r="I661" s="114"/>
      <c r="J661" s="114"/>
    </row>
    <row r="662" spans="9:10" s="8" customFormat="1">
      <c r="I662" s="114"/>
      <c r="J662" s="114"/>
    </row>
    <row r="663" spans="9:10" s="8" customFormat="1">
      <c r="I663" s="114"/>
      <c r="J663" s="114"/>
    </row>
    <row r="664" spans="9:10" s="8" customFormat="1">
      <c r="I664" s="114"/>
      <c r="J664" s="114"/>
    </row>
    <row r="665" spans="9:10" s="8" customFormat="1">
      <c r="I665" s="114"/>
      <c r="J665" s="114"/>
    </row>
    <row r="666" spans="9:10" s="8" customFormat="1">
      <c r="I666" s="114"/>
      <c r="J666" s="114"/>
    </row>
    <row r="667" spans="9:10" s="8" customFormat="1">
      <c r="I667" s="114"/>
      <c r="J667" s="114"/>
    </row>
    <row r="668" spans="9:10" s="8" customFormat="1">
      <c r="I668" s="114"/>
      <c r="J668" s="114"/>
    </row>
    <row r="669" spans="9:10" s="8" customFormat="1">
      <c r="I669" s="114"/>
      <c r="J669" s="114"/>
    </row>
    <row r="670" spans="9:10" s="8" customFormat="1">
      <c r="I670" s="114"/>
      <c r="J670" s="114"/>
    </row>
    <row r="671" spans="9:10" s="8" customFormat="1">
      <c r="I671" s="114"/>
      <c r="J671" s="114"/>
    </row>
    <row r="672" spans="9:10" s="8" customFormat="1">
      <c r="I672" s="114"/>
      <c r="J672" s="114"/>
    </row>
    <row r="673" spans="9:14" s="8" customFormat="1">
      <c r="I673" s="114"/>
      <c r="J673" s="114"/>
    </row>
    <row r="674" spans="9:14" s="8" customFormat="1">
      <c r="I674" s="114"/>
      <c r="J674" s="114"/>
    </row>
    <row r="675" spans="9:14" s="8" customFormat="1">
      <c r="I675" s="114"/>
      <c r="J675" s="114"/>
    </row>
    <row r="676" spans="9:14" s="8" customFormat="1">
      <c r="I676" s="114"/>
      <c r="J676" s="114"/>
    </row>
    <row r="677" spans="9:14" s="8" customFormat="1">
      <c r="I677" s="114"/>
      <c r="J677" s="114"/>
    </row>
    <row r="678" spans="9:14" s="8" customFormat="1">
      <c r="I678" s="114"/>
      <c r="J678" s="114"/>
    </row>
    <row r="679" spans="9:14" s="8" customFormat="1">
      <c r="I679" s="114"/>
      <c r="J679" s="114"/>
    </row>
    <row r="680" spans="9:14" s="8" customFormat="1">
      <c r="I680" s="114"/>
      <c r="J680" s="114"/>
    </row>
    <row r="681" spans="9:14" s="8" customFormat="1">
      <c r="I681" s="114"/>
      <c r="J681" s="114"/>
    </row>
    <row r="682" spans="9:14" s="8" customFormat="1">
      <c r="I682" s="114"/>
      <c r="J682" s="114"/>
    </row>
    <row r="683" spans="9:14" s="8" customFormat="1">
      <c r="I683" s="114"/>
      <c r="J683" s="114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14"/>
      <c r="J687" s="114"/>
    </row>
    <row r="688" spans="9:14" s="8" customFormat="1">
      <c r="I688" s="114"/>
      <c r="J688" s="114"/>
      <c r="N688" s="21"/>
    </row>
    <row r="689" spans="9:14" s="8" customFormat="1">
      <c r="I689" s="114"/>
      <c r="J689" s="114"/>
      <c r="N689" s="21"/>
    </row>
    <row r="690" spans="9:14" s="8" customFormat="1">
      <c r="I690" s="114"/>
      <c r="J690" s="114"/>
      <c r="N690" s="21"/>
    </row>
    <row r="691" spans="9:14" s="8" customFormat="1">
      <c r="I691" s="114"/>
      <c r="J691" s="114"/>
    </row>
    <row r="692" spans="9:14" s="8" customFormat="1">
      <c r="I692" s="114"/>
      <c r="J692" s="114"/>
    </row>
    <row r="693" spans="9:14" s="8" customFormat="1">
      <c r="I693" s="114"/>
      <c r="J693" s="114"/>
    </row>
    <row r="694" spans="9:14" s="8" customFormat="1">
      <c r="I694" s="114"/>
      <c r="J694" s="114"/>
    </row>
    <row r="695" spans="9:14" s="8" customFormat="1">
      <c r="I695" s="114"/>
      <c r="J695" s="114"/>
    </row>
    <row r="696" spans="9:14" s="8" customFormat="1">
      <c r="I696" s="114"/>
      <c r="J696" s="114"/>
    </row>
    <row r="697" spans="9:14" s="8" customFormat="1">
      <c r="I697" s="114"/>
      <c r="J697" s="114"/>
    </row>
    <row r="698" spans="9:14" s="8" customFormat="1">
      <c r="I698" s="114"/>
      <c r="J698" s="114"/>
    </row>
    <row r="699" spans="9:14" s="8" customFormat="1">
      <c r="I699" s="114"/>
      <c r="J699" s="114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14"/>
      <c r="J705" s="114"/>
      <c r="N705" s="21"/>
    </row>
    <row r="706" spans="9:14" s="8" customFormat="1">
      <c r="I706" s="114"/>
      <c r="J706" s="114"/>
      <c r="N706" s="21"/>
    </row>
    <row r="707" spans="9:14" s="8" customFormat="1">
      <c r="I707" s="114"/>
      <c r="J707" s="114"/>
      <c r="N707" s="21"/>
    </row>
    <row r="708" spans="9:14" s="8" customFormat="1">
      <c r="I708" s="114"/>
      <c r="J708" s="114"/>
      <c r="N708" s="21"/>
    </row>
    <row r="709" spans="9:14" s="8" customFormat="1">
      <c r="I709" s="114"/>
      <c r="J709" s="114"/>
    </row>
    <row r="710" spans="9:14" s="8" customFormat="1">
      <c r="I710" s="114"/>
      <c r="J710" s="114"/>
    </row>
    <row r="711" spans="9:14" s="8" customFormat="1">
      <c r="I711" s="114"/>
      <c r="J711" s="114"/>
    </row>
    <row r="712" spans="9:14" s="8" customFormat="1">
      <c r="I712" s="114"/>
      <c r="J712" s="114"/>
    </row>
    <row r="713" spans="9:14" s="8" customFormat="1">
      <c r="I713" s="114"/>
      <c r="J713" s="114"/>
    </row>
    <row r="714" spans="9:14" s="8" customFormat="1">
      <c r="I714" s="114"/>
      <c r="J714" s="114"/>
    </row>
    <row r="715" spans="9:14" s="8" customFormat="1">
      <c r="I715" s="114"/>
      <c r="J715" s="114"/>
    </row>
    <row r="716" spans="9:14" s="8" customFormat="1">
      <c r="I716" s="114"/>
      <c r="J716" s="114"/>
    </row>
    <row r="717" spans="9:14" s="8" customFormat="1">
      <c r="I717" s="114"/>
      <c r="J717" s="114"/>
    </row>
    <row r="718" spans="9:14" s="8" customFormat="1">
      <c r="I718" s="114"/>
      <c r="J718" s="114"/>
    </row>
    <row r="719" spans="9:14" s="8" customFormat="1">
      <c r="I719" s="114"/>
      <c r="J719" s="114"/>
    </row>
    <row r="720" spans="9:14" s="8" customFormat="1">
      <c r="I720" s="114"/>
      <c r="J720" s="114"/>
    </row>
    <row r="721" spans="9:10" s="8" customFormat="1">
      <c r="I721" s="114"/>
      <c r="J721" s="114"/>
    </row>
    <row r="722" spans="9:10" s="8" customFormat="1">
      <c r="I722" s="114"/>
      <c r="J722" s="114"/>
    </row>
    <row r="723" spans="9:10" s="8" customFormat="1">
      <c r="I723" s="114"/>
      <c r="J723" s="114"/>
    </row>
    <row r="724" spans="9:10" s="8" customFormat="1">
      <c r="I724" s="114"/>
      <c r="J724" s="114"/>
    </row>
    <row r="725" spans="9:10" s="8" customFormat="1">
      <c r="I725" s="114"/>
      <c r="J725" s="114"/>
    </row>
    <row r="726" spans="9:10" s="8" customFormat="1">
      <c r="I726" s="114"/>
      <c r="J726" s="114"/>
    </row>
    <row r="727" spans="9:10" s="8" customFormat="1">
      <c r="I727" s="114"/>
      <c r="J727" s="114"/>
    </row>
    <row r="728" spans="9:10" s="8" customFormat="1">
      <c r="I728" s="114"/>
      <c r="J728" s="114"/>
    </row>
    <row r="729" spans="9:10" s="8" customFormat="1">
      <c r="I729" s="114"/>
      <c r="J729" s="114"/>
    </row>
    <row r="730" spans="9:10" s="8" customFormat="1">
      <c r="I730" s="114"/>
      <c r="J730" s="114"/>
    </row>
    <row r="731" spans="9:10" s="8" customFormat="1">
      <c r="I731" s="114"/>
      <c r="J731" s="114"/>
    </row>
    <row r="732" spans="9:10" s="8" customFormat="1">
      <c r="I732" s="114"/>
      <c r="J732" s="114"/>
    </row>
    <row r="733" spans="9:10" s="8" customFormat="1">
      <c r="I733" s="114"/>
      <c r="J733" s="114"/>
    </row>
    <row r="734" spans="9:10" s="8" customFormat="1">
      <c r="I734" s="114"/>
      <c r="J734" s="114"/>
    </row>
    <row r="735" spans="9:10" s="8" customFormat="1">
      <c r="I735" s="114"/>
      <c r="J735" s="114"/>
    </row>
    <row r="736" spans="9:10" s="8" customFormat="1">
      <c r="I736" s="114"/>
      <c r="J736" s="114"/>
    </row>
    <row r="737" spans="9:10" s="8" customFormat="1">
      <c r="I737" s="114"/>
      <c r="J737" s="114"/>
    </row>
    <row r="738" spans="9:10" s="8" customFormat="1">
      <c r="I738" s="114"/>
      <c r="J738" s="114"/>
    </row>
    <row r="739" spans="9:10" s="8" customFormat="1">
      <c r="I739" s="114"/>
      <c r="J739" s="114"/>
    </row>
    <row r="740" spans="9:10" s="8" customFormat="1">
      <c r="I740" s="114"/>
      <c r="J740" s="114"/>
    </row>
    <row r="741" spans="9:10" s="8" customFormat="1">
      <c r="I741" s="114"/>
      <c r="J741" s="114"/>
    </row>
    <row r="742" spans="9:10" s="8" customFormat="1">
      <c r="I742" s="114"/>
      <c r="J742" s="114"/>
    </row>
    <row r="743" spans="9:10" s="8" customFormat="1">
      <c r="I743" s="114"/>
      <c r="J743" s="114"/>
    </row>
    <row r="744" spans="9:10" s="8" customFormat="1">
      <c r="I744" s="114"/>
      <c r="J744" s="114"/>
    </row>
    <row r="745" spans="9:10" s="8" customFormat="1">
      <c r="I745" s="114"/>
      <c r="J745" s="114"/>
    </row>
    <row r="746" spans="9:10" s="8" customFormat="1">
      <c r="I746" s="114"/>
      <c r="J746" s="114"/>
    </row>
    <row r="747" spans="9:10" s="8" customFormat="1">
      <c r="I747" s="114"/>
      <c r="J747" s="114"/>
    </row>
    <row r="748" spans="9:10" s="8" customFormat="1">
      <c r="I748" s="114"/>
      <c r="J748" s="114"/>
    </row>
    <row r="749" spans="9:10" s="8" customFormat="1">
      <c r="I749" s="114"/>
      <c r="J749" s="114"/>
    </row>
    <row r="750" spans="9:10" s="8" customFormat="1">
      <c r="I750" s="114"/>
      <c r="J750" s="114"/>
    </row>
    <row r="751" spans="9:10" s="8" customFormat="1">
      <c r="I751" s="114"/>
      <c r="J751" s="114"/>
    </row>
    <row r="752" spans="9:10" s="8" customFormat="1">
      <c r="I752" s="114"/>
      <c r="J752" s="114"/>
    </row>
    <row r="753" spans="9:14" s="8" customFormat="1">
      <c r="I753" s="114"/>
      <c r="J753" s="114"/>
    </row>
    <row r="754" spans="9:14" s="8" customFormat="1">
      <c r="I754" s="114"/>
      <c r="J754" s="114"/>
    </row>
    <row r="755" spans="9:14" s="8" customFormat="1">
      <c r="I755" s="114"/>
      <c r="J755" s="114"/>
    </row>
    <row r="756" spans="9:14" s="8" customFormat="1">
      <c r="I756" s="114"/>
      <c r="J756" s="114"/>
    </row>
    <row r="757" spans="9:14" s="8" customFormat="1">
      <c r="I757" s="114"/>
      <c r="J757" s="114"/>
    </row>
    <row r="758" spans="9:14">
      <c r="N758" s="8"/>
    </row>
    <row r="759" spans="9:14">
      <c r="N759" s="8"/>
    </row>
    <row r="760" spans="9:14" s="8" customFormat="1">
      <c r="I760" s="114"/>
      <c r="J760" s="114"/>
    </row>
    <row r="761" spans="9:14" s="8" customFormat="1">
      <c r="I761" s="114"/>
      <c r="J761" s="114"/>
    </row>
    <row r="762" spans="9:14" s="8" customFormat="1">
      <c r="I762" s="114"/>
      <c r="J762" s="114"/>
      <c r="N762" s="21"/>
    </row>
    <row r="763" spans="9:14" s="8" customFormat="1">
      <c r="I763" s="114"/>
      <c r="J763" s="114"/>
      <c r="N763" s="21"/>
    </row>
    <row r="764" spans="9:14" s="8" customFormat="1">
      <c r="I764" s="114"/>
      <c r="J764" s="114"/>
    </row>
    <row r="765" spans="9:14" s="8" customFormat="1">
      <c r="I765" s="114"/>
      <c r="J765" s="114"/>
    </row>
    <row r="766" spans="9:14" s="8" customFormat="1">
      <c r="I766" s="114"/>
      <c r="J766" s="114"/>
    </row>
    <row r="767" spans="9:14" s="8" customFormat="1">
      <c r="I767" s="114"/>
      <c r="J767" s="114"/>
    </row>
    <row r="768" spans="9:14" s="8" customFormat="1">
      <c r="I768" s="114"/>
      <c r="J768" s="114"/>
    </row>
    <row r="769" spans="9:10" s="8" customFormat="1">
      <c r="I769" s="114"/>
      <c r="J769" s="114"/>
    </row>
    <row r="770" spans="9:10" s="8" customFormat="1">
      <c r="I770" s="114"/>
      <c r="J770" s="114"/>
    </row>
    <row r="771" spans="9:10" s="8" customFormat="1">
      <c r="I771" s="114"/>
      <c r="J771" s="114"/>
    </row>
    <row r="772" spans="9:10" s="8" customFormat="1">
      <c r="I772" s="114"/>
      <c r="J772" s="114"/>
    </row>
    <row r="773" spans="9:10" s="8" customFormat="1">
      <c r="I773" s="114"/>
      <c r="J773" s="114"/>
    </row>
    <row r="774" spans="9:10" s="8" customFormat="1">
      <c r="I774" s="114"/>
      <c r="J774" s="114"/>
    </row>
    <row r="775" spans="9:10" s="8" customFormat="1">
      <c r="I775" s="114"/>
      <c r="J775" s="114"/>
    </row>
    <row r="776" spans="9:10" s="8" customFormat="1">
      <c r="I776" s="114"/>
      <c r="J776" s="114"/>
    </row>
    <row r="777" spans="9:10" s="8" customFormat="1">
      <c r="I777" s="114"/>
      <c r="J777" s="114"/>
    </row>
    <row r="778" spans="9:10" s="8" customFormat="1">
      <c r="I778" s="114"/>
      <c r="J778" s="114"/>
    </row>
    <row r="779" spans="9:10" s="8" customFormat="1">
      <c r="I779" s="114"/>
      <c r="J779" s="114"/>
    </row>
    <row r="780" spans="9:10" s="8" customFormat="1">
      <c r="I780" s="114"/>
      <c r="J780" s="114"/>
    </row>
    <row r="781" spans="9:10" s="8" customFormat="1">
      <c r="I781" s="114"/>
      <c r="J781" s="114"/>
    </row>
    <row r="782" spans="9:10" s="8" customFormat="1">
      <c r="I782" s="114"/>
      <c r="J782" s="114"/>
    </row>
    <row r="783" spans="9:10" s="8" customFormat="1">
      <c r="I783" s="114"/>
      <c r="J783" s="114"/>
    </row>
    <row r="784" spans="9:10" s="8" customFormat="1">
      <c r="I784" s="114"/>
      <c r="J784" s="114"/>
    </row>
    <row r="785" spans="9:10" s="8" customFormat="1">
      <c r="I785" s="114"/>
      <c r="J785" s="114"/>
    </row>
    <row r="786" spans="9:10" s="8" customFormat="1">
      <c r="I786" s="114"/>
      <c r="J786" s="114"/>
    </row>
    <row r="787" spans="9:10" s="8" customFormat="1">
      <c r="I787" s="114"/>
      <c r="J787" s="114"/>
    </row>
    <row r="788" spans="9:10" s="8" customFormat="1">
      <c r="I788" s="114"/>
      <c r="J788" s="114"/>
    </row>
    <row r="789" spans="9:10" s="8" customFormat="1">
      <c r="I789" s="114"/>
      <c r="J789" s="114"/>
    </row>
    <row r="790" spans="9:10" s="8" customFormat="1">
      <c r="I790" s="114"/>
      <c r="J790" s="114"/>
    </row>
    <row r="791" spans="9:10" s="8" customFormat="1">
      <c r="I791" s="114"/>
      <c r="J791" s="114"/>
    </row>
    <row r="792" spans="9:10" s="8" customFormat="1">
      <c r="I792" s="114"/>
      <c r="J792" s="114"/>
    </row>
    <row r="793" spans="9:10" s="8" customFormat="1">
      <c r="I793" s="114"/>
      <c r="J793" s="114"/>
    </row>
    <row r="794" spans="9:10" s="8" customFormat="1">
      <c r="I794" s="114"/>
      <c r="J794" s="114"/>
    </row>
    <row r="795" spans="9:10" s="8" customFormat="1">
      <c r="I795" s="114"/>
      <c r="J795" s="114"/>
    </row>
    <row r="796" spans="9:10" s="8" customFormat="1">
      <c r="I796" s="114"/>
      <c r="J796" s="114"/>
    </row>
    <row r="797" spans="9:10" s="8" customFormat="1">
      <c r="I797" s="114"/>
      <c r="J797" s="114"/>
    </row>
    <row r="798" spans="9:10" s="8" customFormat="1">
      <c r="I798" s="114"/>
      <c r="J798" s="114"/>
    </row>
    <row r="799" spans="9:10" s="8" customFormat="1">
      <c r="I799" s="114"/>
      <c r="J799" s="114"/>
    </row>
    <row r="800" spans="9:10" s="8" customFormat="1">
      <c r="I800" s="114"/>
      <c r="J800" s="114"/>
    </row>
    <row r="801" spans="9:14" s="8" customFormat="1">
      <c r="I801" s="114"/>
      <c r="J801" s="114"/>
    </row>
    <row r="802" spans="9:14" s="8" customFormat="1">
      <c r="I802" s="114"/>
      <c r="J802" s="114"/>
    </row>
    <row r="803" spans="9:14" s="8" customFormat="1">
      <c r="I803" s="114"/>
      <c r="J803" s="114"/>
    </row>
    <row r="804" spans="9:14" s="8" customFormat="1">
      <c r="I804" s="114"/>
      <c r="J804" s="114"/>
    </row>
    <row r="805" spans="9:14" s="8" customFormat="1">
      <c r="I805" s="114"/>
      <c r="J805" s="114"/>
    </row>
    <row r="806" spans="9:14" s="8" customFormat="1">
      <c r="I806" s="114"/>
      <c r="J806" s="114"/>
    </row>
    <row r="807" spans="9:14" s="8" customFormat="1">
      <c r="I807" s="114"/>
      <c r="J807" s="114"/>
    </row>
    <row r="808" spans="9:14" s="8" customFormat="1">
      <c r="I808" s="114"/>
      <c r="J808" s="114"/>
    </row>
    <row r="809" spans="9:14">
      <c r="N809" s="8"/>
    </row>
    <row r="810" spans="9:14" s="8" customFormat="1">
      <c r="I810" s="114"/>
      <c r="J810" s="114"/>
    </row>
    <row r="811" spans="9:14" s="8" customFormat="1">
      <c r="I811" s="114"/>
      <c r="J811" s="114"/>
    </row>
    <row r="812" spans="9:14" s="8" customFormat="1">
      <c r="I812" s="114"/>
      <c r="J812" s="114"/>
    </row>
    <row r="813" spans="9:14" s="8" customFormat="1">
      <c r="I813" s="114"/>
      <c r="J813" s="114"/>
      <c r="N813" s="21"/>
    </row>
    <row r="814" spans="9:14" s="8" customFormat="1">
      <c r="I814" s="114"/>
      <c r="J814" s="114"/>
    </row>
    <row r="815" spans="9:14" s="8" customFormat="1">
      <c r="I815" s="114"/>
      <c r="J815" s="114"/>
    </row>
    <row r="816" spans="9:14" s="8" customFormat="1">
      <c r="I816" s="114"/>
      <c r="J816" s="114"/>
    </row>
    <row r="817" spans="9:10" s="8" customFormat="1">
      <c r="I817" s="114"/>
      <c r="J817" s="114"/>
    </row>
    <row r="818" spans="9:10" s="8" customFormat="1">
      <c r="I818" s="114"/>
      <c r="J818" s="114"/>
    </row>
    <row r="819" spans="9:10" s="8" customFormat="1">
      <c r="I819" s="114"/>
      <c r="J819" s="114"/>
    </row>
    <row r="820" spans="9:10" s="8" customFormat="1">
      <c r="I820" s="114"/>
      <c r="J820" s="114"/>
    </row>
    <row r="821" spans="9:10" s="8" customFormat="1">
      <c r="I821" s="114"/>
      <c r="J821" s="114"/>
    </row>
    <row r="822" spans="9:10" s="8" customFormat="1">
      <c r="I822" s="114"/>
      <c r="J822" s="114"/>
    </row>
    <row r="823" spans="9:10" s="8" customFormat="1">
      <c r="I823" s="114"/>
      <c r="J823" s="114"/>
    </row>
    <row r="824" spans="9:10" s="8" customFormat="1">
      <c r="I824" s="114"/>
      <c r="J824" s="114"/>
    </row>
    <row r="825" spans="9:10" s="8" customFormat="1">
      <c r="I825" s="114"/>
      <c r="J825" s="114"/>
    </row>
    <row r="826" spans="9:10" s="8" customFormat="1">
      <c r="I826" s="114"/>
      <c r="J826" s="114"/>
    </row>
    <row r="827" spans="9:10" s="8" customFormat="1">
      <c r="I827" s="114"/>
      <c r="J827" s="114"/>
    </row>
    <row r="828" spans="9:10" s="8" customFormat="1">
      <c r="I828" s="114"/>
      <c r="J828" s="114"/>
    </row>
    <row r="829" spans="9:10" s="8" customFormat="1">
      <c r="I829" s="114"/>
      <c r="J829" s="114"/>
    </row>
    <row r="830" spans="9:10" s="8" customFormat="1">
      <c r="I830" s="114"/>
      <c r="J830" s="114"/>
    </row>
    <row r="831" spans="9:10" s="8" customFormat="1">
      <c r="I831" s="114"/>
      <c r="J831" s="114"/>
    </row>
    <row r="832" spans="9:10" s="8" customFormat="1">
      <c r="I832" s="114"/>
      <c r="J832" s="114"/>
    </row>
    <row r="833" spans="9:14" s="8" customFormat="1">
      <c r="I833" s="114"/>
      <c r="J833" s="114"/>
    </row>
    <row r="834" spans="9:14" s="8" customFormat="1">
      <c r="I834" s="114"/>
      <c r="J834" s="114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14"/>
      <c r="J838" s="114"/>
    </row>
    <row r="839" spans="9:14" s="8" customFormat="1">
      <c r="I839" s="114"/>
      <c r="J839" s="114"/>
      <c r="N839" s="21"/>
    </row>
    <row r="840" spans="9:14" s="8" customFormat="1">
      <c r="I840" s="114"/>
      <c r="J840" s="114"/>
      <c r="N840" s="21"/>
    </row>
    <row r="841" spans="9:14" s="8" customFormat="1">
      <c r="I841" s="114"/>
      <c r="J841" s="114"/>
      <c r="N841" s="21"/>
    </row>
    <row r="842" spans="9:14" s="8" customFormat="1">
      <c r="I842" s="114"/>
      <c r="J842" s="114"/>
    </row>
    <row r="843" spans="9:14" s="8" customFormat="1">
      <c r="I843" s="114"/>
      <c r="J843" s="114"/>
    </row>
    <row r="844" spans="9:14" s="8" customFormat="1">
      <c r="I844" s="114"/>
      <c r="J844" s="114"/>
    </row>
    <row r="845" spans="9:14" s="8" customFormat="1">
      <c r="I845" s="114"/>
      <c r="J845" s="114"/>
    </row>
    <row r="846" spans="9:14" s="8" customFormat="1">
      <c r="I846" s="114"/>
      <c r="J846" s="114"/>
    </row>
    <row r="847" spans="9:14" s="8" customFormat="1">
      <c r="I847" s="114"/>
      <c r="J847" s="114"/>
    </row>
    <row r="848" spans="9:14" s="8" customFormat="1">
      <c r="I848" s="114"/>
      <c r="J848" s="114"/>
    </row>
    <row r="849" spans="9:14" s="8" customFormat="1">
      <c r="I849" s="114"/>
      <c r="J849" s="114"/>
    </row>
    <row r="850" spans="9:14" s="8" customFormat="1">
      <c r="I850" s="114"/>
      <c r="J850" s="114"/>
    </row>
    <row r="851" spans="9:14" s="8" customFormat="1">
      <c r="I851" s="114"/>
      <c r="J851" s="114"/>
    </row>
    <row r="852" spans="9:14" s="8" customFormat="1">
      <c r="I852" s="114"/>
      <c r="J852" s="114"/>
    </row>
    <row r="853" spans="9:14" s="8" customFormat="1">
      <c r="I853" s="114"/>
      <c r="J853" s="114"/>
    </row>
    <row r="854" spans="9:14" s="8" customFormat="1">
      <c r="I854" s="114"/>
      <c r="J854" s="114"/>
    </row>
    <row r="855" spans="9:14" s="8" customFormat="1">
      <c r="I855" s="114"/>
      <c r="J855" s="114"/>
    </row>
    <row r="856" spans="9:14" s="8" customFormat="1">
      <c r="I856" s="114"/>
      <c r="J856" s="114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14"/>
      <c r="J863" s="114"/>
      <c r="N863" s="21"/>
    </row>
    <row r="867" spans="9:14">
      <c r="N867" s="8"/>
    </row>
    <row r="872" spans="9:14" s="8" customFormat="1">
      <c r="I872" s="114"/>
      <c r="J872" s="114"/>
      <c r="N872" s="21"/>
    </row>
    <row r="873" spans="9:14" s="8" customFormat="1">
      <c r="I873" s="114"/>
      <c r="J873" s="114"/>
      <c r="N873" s="21"/>
    </row>
    <row r="874" spans="9:14" s="8" customFormat="1">
      <c r="I874" s="114"/>
      <c r="J874" s="114"/>
      <c r="N874" s="21"/>
    </row>
    <row r="875" spans="9:14" s="8" customFormat="1">
      <c r="I875" s="114"/>
      <c r="J875" s="114"/>
      <c r="N875" s="21"/>
    </row>
    <row r="876" spans="9:14" s="8" customFormat="1">
      <c r="I876" s="114"/>
      <c r="J876" s="114"/>
    </row>
    <row r="877" spans="9:14" s="8" customFormat="1">
      <c r="I877" s="114"/>
      <c r="J877" s="114"/>
    </row>
    <row r="878" spans="9:14" s="8" customFormat="1">
      <c r="I878" s="114"/>
      <c r="J878" s="114"/>
    </row>
    <row r="879" spans="9:14" s="8" customFormat="1">
      <c r="I879" s="114"/>
      <c r="J879" s="114"/>
    </row>
    <row r="880" spans="9:14" s="8" customFormat="1">
      <c r="I880" s="114"/>
      <c r="J880" s="114"/>
    </row>
    <row r="881" spans="9:10" s="8" customFormat="1">
      <c r="I881" s="114"/>
      <c r="J881" s="114"/>
    </row>
    <row r="882" spans="9:10" s="8" customFormat="1">
      <c r="I882" s="114"/>
      <c r="J882" s="114"/>
    </row>
    <row r="883" spans="9:10" s="8" customFormat="1">
      <c r="I883" s="114"/>
      <c r="J883" s="114"/>
    </row>
    <row r="884" spans="9:10" s="8" customFormat="1">
      <c r="I884" s="114"/>
      <c r="J884" s="114"/>
    </row>
    <row r="885" spans="9:10" s="8" customFormat="1">
      <c r="I885" s="114"/>
      <c r="J885" s="114"/>
    </row>
    <row r="886" spans="9:10" s="8" customFormat="1">
      <c r="I886" s="114"/>
      <c r="J886" s="114"/>
    </row>
    <row r="887" spans="9:10" s="8" customFormat="1">
      <c r="I887" s="114"/>
      <c r="J887" s="114"/>
    </row>
    <row r="888" spans="9:10" s="8" customFormat="1">
      <c r="I888" s="114"/>
      <c r="J888" s="114"/>
    </row>
    <row r="889" spans="9:10" s="8" customFormat="1">
      <c r="I889" s="114"/>
      <c r="J889" s="114"/>
    </row>
    <row r="890" spans="9:10" s="8" customFormat="1">
      <c r="I890" s="114"/>
      <c r="J890" s="114"/>
    </row>
    <row r="891" spans="9:10" s="8" customFormat="1">
      <c r="I891" s="114"/>
      <c r="J891" s="114"/>
    </row>
    <row r="892" spans="9:10" s="8" customFormat="1">
      <c r="I892" s="114"/>
      <c r="J892" s="114"/>
    </row>
    <row r="893" spans="9:10" s="8" customFormat="1">
      <c r="I893" s="114"/>
      <c r="J893" s="114"/>
    </row>
    <row r="894" spans="9:10" s="8" customFormat="1">
      <c r="I894" s="114"/>
      <c r="J894" s="114"/>
    </row>
    <row r="895" spans="9:10" s="8" customFormat="1">
      <c r="I895" s="114"/>
      <c r="J895" s="114"/>
    </row>
    <row r="896" spans="9:10" s="8" customFormat="1">
      <c r="I896" s="114"/>
      <c r="J896" s="114"/>
    </row>
    <row r="897" spans="9:14" s="8" customFormat="1">
      <c r="I897" s="114"/>
      <c r="J897" s="114"/>
    </row>
    <row r="898" spans="9:14" s="8" customFormat="1">
      <c r="I898" s="114"/>
      <c r="J898" s="114"/>
    </row>
    <row r="899" spans="9:14" s="8" customFormat="1">
      <c r="I899" s="114"/>
      <c r="J899" s="114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14"/>
      <c r="J904" s="114"/>
      <c r="N904" s="21"/>
    </row>
    <row r="905" spans="9:14" s="8" customFormat="1">
      <c r="I905" s="114"/>
      <c r="J905" s="114"/>
      <c r="N905" s="21"/>
    </row>
    <row r="906" spans="9:14" s="8" customFormat="1">
      <c r="I906" s="114"/>
      <c r="J906" s="114"/>
      <c r="N906" s="21"/>
    </row>
    <row r="907" spans="9:14" s="8" customFormat="1">
      <c r="I907" s="114"/>
      <c r="J907" s="114"/>
      <c r="N907" s="21"/>
    </row>
    <row r="908" spans="9:14" s="8" customFormat="1">
      <c r="I908" s="114"/>
      <c r="J908" s="114"/>
    </row>
    <row r="909" spans="9:14" s="8" customFormat="1">
      <c r="I909" s="114"/>
      <c r="J909" s="114"/>
    </row>
    <row r="910" spans="9:14" s="8" customFormat="1">
      <c r="I910" s="114"/>
      <c r="J910" s="114"/>
    </row>
    <row r="911" spans="9:14" s="8" customFormat="1">
      <c r="I911" s="114"/>
      <c r="J911" s="114"/>
    </row>
    <row r="912" spans="9:14" s="8" customFormat="1">
      <c r="I912" s="114"/>
      <c r="J912" s="114"/>
    </row>
    <row r="913" spans="9:10" s="8" customFormat="1">
      <c r="I913" s="114"/>
      <c r="J913" s="114"/>
    </row>
    <row r="914" spans="9:10" s="8" customFormat="1">
      <c r="I914" s="114"/>
      <c r="J914" s="114"/>
    </row>
    <row r="915" spans="9:10" s="8" customFormat="1">
      <c r="I915" s="114"/>
      <c r="J915" s="114"/>
    </row>
    <row r="916" spans="9:10" s="8" customFormat="1">
      <c r="I916" s="114"/>
      <c r="J916" s="114"/>
    </row>
    <row r="917" spans="9:10" s="8" customFormat="1">
      <c r="I917" s="114"/>
      <c r="J917" s="114"/>
    </row>
    <row r="918" spans="9:10" s="8" customFormat="1">
      <c r="I918" s="114"/>
      <c r="J918" s="114"/>
    </row>
    <row r="919" spans="9:10" s="8" customFormat="1">
      <c r="I919" s="114"/>
      <c r="J919" s="114"/>
    </row>
    <row r="920" spans="9:10" s="8" customFormat="1">
      <c r="I920" s="114"/>
      <c r="J920" s="114"/>
    </row>
    <row r="921" spans="9:10" s="8" customFormat="1">
      <c r="I921" s="114"/>
      <c r="J921" s="114"/>
    </row>
    <row r="922" spans="9:10" s="8" customFormat="1">
      <c r="I922" s="114"/>
      <c r="J922" s="114"/>
    </row>
    <row r="923" spans="9:10" s="8" customFormat="1">
      <c r="I923" s="114"/>
      <c r="J923" s="114"/>
    </row>
    <row r="924" spans="9:10" s="8" customFormat="1">
      <c r="I924" s="114"/>
      <c r="J924" s="114"/>
    </row>
    <row r="925" spans="9:10" s="8" customFormat="1">
      <c r="I925" s="114"/>
      <c r="J925" s="114"/>
    </row>
    <row r="926" spans="9:10" s="8" customFormat="1">
      <c r="I926" s="114"/>
      <c r="J926" s="114"/>
    </row>
    <row r="927" spans="9:10" s="8" customFormat="1">
      <c r="I927" s="114"/>
      <c r="J927" s="114"/>
    </row>
    <row r="928" spans="9:10" s="8" customFormat="1">
      <c r="I928" s="114"/>
      <c r="J928" s="114"/>
    </row>
    <row r="929" spans="9:10" s="8" customFormat="1">
      <c r="I929" s="114"/>
      <c r="J929" s="114"/>
    </row>
    <row r="930" spans="9:10" s="8" customFormat="1">
      <c r="I930" s="114"/>
      <c r="J930" s="114"/>
    </row>
    <row r="931" spans="9:10" s="8" customFormat="1">
      <c r="I931" s="114"/>
      <c r="J931" s="114"/>
    </row>
    <row r="932" spans="9:10" s="8" customFormat="1">
      <c r="I932" s="114"/>
      <c r="J932" s="114"/>
    </row>
    <row r="933" spans="9:10" s="8" customFormat="1">
      <c r="I933" s="114"/>
      <c r="J933" s="114"/>
    </row>
    <row r="934" spans="9:10" s="8" customFormat="1">
      <c r="I934" s="114"/>
      <c r="J934" s="114"/>
    </row>
    <row r="935" spans="9:10" s="8" customFormat="1">
      <c r="I935" s="114"/>
      <c r="J935" s="114"/>
    </row>
    <row r="936" spans="9:10" s="8" customFormat="1">
      <c r="I936" s="114"/>
      <c r="J936" s="114"/>
    </row>
    <row r="937" spans="9:10" s="8" customFormat="1">
      <c r="I937" s="114"/>
      <c r="J937" s="114"/>
    </row>
    <row r="938" spans="9:10" s="8" customFormat="1">
      <c r="I938" s="114"/>
      <c r="J938" s="114"/>
    </row>
    <row r="939" spans="9:10" s="8" customFormat="1">
      <c r="I939" s="114"/>
      <c r="J939" s="114"/>
    </row>
    <row r="940" spans="9:10" s="8" customFormat="1">
      <c r="I940" s="114"/>
      <c r="J940" s="114"/>
    </row>
    <row r="941" spans="9:10" s="8" customFormat="1">
      <c r="I941" s="114"/>
      <c r="J941" s="114"/>
    </row>
    <row r="942" spans="9:10" s="8" customFormat="1">
      <c r="I942" s="114"/>
      <c r="J942" s="114"/>
    </row>
    <row r="943" spans="9:10" s="8" customFormat="1">
      <c r="I943" s="114"/>
      <c r="J943" s="114"/>
    </row>
    <row r="944" spans="9:10" s="8" customFormat="1">
      <c r="I944" s="114"/>
      <c r="J944" s="114"/>
    </row>
    <row r="945" spans="9:10" s="8" customFormat="1">
      <c r="I945" s="114"/>
      <c r="J945" s="114"/>
    </row>
    <row r="946" spans="9:10" s="8" customFormat="1">
      <c r="I946" s="114"/>
      <c r="J946" s="114"/>
    </row>
    <row r="947" spans="9:10" s="8" customFormat="1">
      <c r="I947" s="114"/>
      <c r="J947" s="114"/>
    </row>
    <row r="948" spans="9:10" s="8" customFormat="1">
      <c r="I948" s="114"/>
      <c r="J948" s="114"/>
    </row>
    <row r="949" spans="9:10" s="8" customFormat="1">
      <c r="I949" s="114"/>
      <c r="J949" s="114"/>
    </row>
    <row r="950" spans="9:10" s="8" customFormat="1">
      <c r="I950" s="114"/>
      <c r="J950" s="114"/>
    </row>
    <row r="951" spans="9:10" s="8" customFormat="1">
      <c r="I951" s="114"/>
      <c r="J951" s="114"/>
    </row>
    <row r="952" spans="9:10" s="8" customFormat="1">
      <c r="I952" s="114"/>
      <c r="J952" s="114"/>
    </row>
    <row r="953" spans="9:10" s="8" customFormat="1">
      <c r="I953" s="114"/>
      <c r="J953" s="114"/>
    </row>
    <row r="954" spans="9:10" s="8" customFormat="1">
      <c r="I954" s="114"/>
      <c r="J954" s="114"/>
    </row>
    <row r="955" spans="9:10" s="8" customFormat="1">
      <c r="I955" s="114"/>
      <c r="J955" s="114"/>
    </row>
    <row r="956" spans="9:10" s="8" customFormat="1">
      <c r="I956" s="114"/>
      <c r="J956" s="114"/>
    </row>
    <row r="957" spans="9:10" s="8" customFormat="1">
      <c r="I957" s="114"/>
      <c r="J957" s="114"/>
    </row>
    <row r="958" spans="9:10" s="8" customFormat="1">
      <c r="I958" s="114"/>
      <c r="J958" s="114"/>
    </row>
    <row r="959" spans="9:10" s="8" customFormat="1">
      <c r="I959" s="114"/>
      <c r="J959" s="114"/>
    </row>
    <row r="960" spans="9:10" s="8" customFormat="1">
      <c r="I960" s="114"/>
      <c r="J960" s="114"/>
    </row>
    <row r="961" spans="9:10" s="8" customFormat="1">
      <c r="I961" s="114"/>
      <c r="J961" s="114"/>
    </row>
    <row r="962" spans="9:10" s="8" customFormat="1">
      <c r="I962" s="114"/>
      <c r="J962" s="114"/>
    </row>
    <row r="963" spans="9:10" s="8" customFormat="1">
      <c r="I963" s="114"/>
      <c r="J963" s="114"/>
    </row>
    <row r="964" spans="9:10" s="8" customFormat="1">
      <c r="I964" s="114"/>
      <c r="J964" s="114"/>
    </row>
    <row r="965" spans="9:10" s="8" customFormat="1">
      <c r="I965" s="114"/>
      <c r="J965" s="114"/>
    </row>
    <row r="966" spans="9:10" s="8" customFormat="1">
      <c r="I966" s="114"/>
      <c r="J966" s="114"/>
    </row>
    <row r="967" spans="9:10" s="8" customFormat="1">
      <c r="I967" s="114"/>
      <c r="J967" s="114"/>
    </row>
    <row r="968" spans="9:10" s="8" customFormat="1">
      <c r="I968" s="114"/>
      <c r="J968" s="114"/>
    </row>
    <row r="969" spans="9:10" s="8" customFormat="1">
      <c r="I969" s="114"/>
      <c r="J969" s="114"/>
    </row>
    <row r="970" spans="9:10" s="8" customFormat="1">
      <c r="I970" s="114"/>
      <c r="J970" s="114"/>
    </row>
    <row r="971" spans="9:10" s="8" customFormat="1">
      <c r="I971" s="114"/>
      <c r="J971" s="114"/>
    </row>
    <row r="972" spans="9:10" s="8" customFormat="1">
      <c r="I972" s="114"/>
      <c r="J972" s="114"/>
    </row>
    <row r="973" spans="9:10" s="8" customFormat="1">
      <c r="I973" s="114"/>
      <c r="J973" s="114"/>
    </row>
    <row r="974" spans="9:10" s="8" customFormat="1">
      <c r="I974" s="114"/>
      <c r="J974" s="114"/>
    </row>
    <row r="975" spans="9:10" s="8" customFormat="1">
      <c r="I975" s="114"/>
      <c r="J975" s="114"/>
    </row>
    <row r="976" spans="9:10" s="8" customFormat="1">
      <c r="I976" s="114"/>
      <c r="J976" s="114"/>
    </row>
    <row r="977" spans="9:10" s="8" customFormat="1">
      <c r="I977" s="114"/>
      <c r="J977" s="114"/>
    </row>
    <row r="978" spans="9:10" s="8" customFormat="1">
      <c r="I978" s="114"/>
      <c r="J978" s="114"/>
    </row>
    <row r="979" spans="9:10" s="8" customFormat="1">
      <c r="I979" s="114"/>
      <c r="J979" s="114"/>
    </row>
    <row r="980" spans="9:10" s="8" customFormat="1">
      <c r="I980" s="114"/>
      <c r="J980" s="114"/>
    </row>
    <row r="981" spans="9:10" s="8" customFormat="1">
      <c r="I981" s="114"/>
      <c r="J981" s="114"/>
    </row>
    <row r="982" spans="9:10" s="8" customFormat="1">
      <c r="I982" s="114"/>
      <c r="J982" s="114"/>
    </row>
    <row r="983" spans="9:10" s="8" customFormat="1">
      <c r="I983" s="114"/>
      <c r="J983" s="114"/>
    </row>
    <row r="984" spans="9:10" s="8" customFormat="1">
      <c r="I984" s="114"/>
      <c r="J984" s="114"/>
    </row>
    <row r="985" spans="9:10" s="8" customFormat="1">
      <c r="I985" s="114"/>
      <c r="J985" s="114"/>
    </row>
    <row r="986" spans="9:10" s="8" customFormat="1">
      <c r="I986" s="114"/>
      <c r="J986" s="114"/>
    </row>
    <row r="987" spans="9:10" s="8" customFormat="1">
      <c r="I987" s="114"/>
      <c r="J987" s="114"/>
    </row>
    <row r="988" spans="9:10" s="8" customFormat="1">
      <c r="I988" s="114"/>
      <c r="J988" s="114"/>
    </row>
    <row r="989" spans="9:10" s="8" customFormat="1">
      <c r="I989" s="114"/>
      <c r="J989" s="114"/>
    </row>
    <row r="990" spans="9:10" s="8" customFormat="1">
      <c r="I990" s="114"/>
      <c r="J990" s="114"/>
    </row>
    <row r="991" spans="9:10" s="8" customFormat="1">
      <c r="I991" s="114"/>
      <c r="J991" s="114"/>
    </row>
    <row r="992" spans="9:10" s="8" customFormat="1">
      <c r="I992" s="114"/>
      <c r="J992" s="114"/>
    </row>
    <row r="993" spans="9:10" s="8" customFormat="1">
      <c r="I993" s="114"/>
      <c r="J993" s="114"/>
    </row>
    <row r="994" spans="9:10" s="8" customFormat="1">
      <c r="I994" s="114"/>
      <c r="J994" s="114"/>
    </row>
    <row r="995" spans="9:10" s="8" customFormat="1">
      <c r="I995" s="114"/>
      <c r="J995" s="114"/>
    </row>
    <row r="996" spans="9:10" s="8" customFormat="1">
      <c r="I996" s="114"/>
      <c r="J996" s="114"/>
    </row>
    <row r="997" spans="9:10" s="8" customFormat="1">
      <c r="I997" s="114"/>
      <c r="J997" s="114"/>
    </row>
    <row r="998" spans="9:10" s="8" customFormat="1">
      <c r="I998" s="114"/>
      <c r="J998" s="114"/>
    </row>
    <row r="999" spans="9:10" s="8" customFormat="1">
      <c r="I999" s="114"/>
      <c r="J999" s="114"/>
    </row>
    <row r="1000" spans="9:10" s="8" customFormat="1">
      <c r="I1000" s="114"/>
      <c r="J1000" s="114"/>
    </row>
    <row r="1001" spans="9:10" s="8" customFormat="1">
      <c r="I1001" s="114"/>
      <c r="J1001" s="114"/>
    </row>
    <row r="1002" spans="9:10" s="8" customFormat="1">
      <c r="I1002" s="114"/>
      <c r="J1002" s="114"/>
    </row>
    <row r="1003" spans="9:10" s="8" customFormat="1">
      <c r="I1003" s="114"/>
      <c r="J1003" s="114"/>
    </row>
    <row r="1004" spans="9:10" s="8" customFormat="1">
      <c r="I1004" s="114"/>
      <c r="J1004" s="114"/>
    </row>
    <row r="1005" spans="9:10" s="8" customFormat="1">
      <c r="I1005" s="114"/>
      <c r="J1005" s="114"/>
    </row>
    <row r="1006" spans="9:10" s="8" customFormat="1">
      <c r="I1006" s="114"/>
      <c r="J1006" s="114"/>
    </row>
    <row r="1007" spans="9:10" s="8" customFormat="1">
      <c r="I1007" s="114"/>
      <c r="J1007" s="114"/>
    </row>
    <row r="1008" spans="9:10" s="8" customFormat="1">
      <c r="I1008" s="114"/>
      <c r="J1008" s="114"/>
    </row>
    <row r="1009" spans="9:10" s="8" customFormat="1">
      <c r="I1009" s="114"/>
      <c r="J1009" s="114"/>
    </row>
    <row r="1010" spans="9:10" s="8" customFormat="1">
      <c r="I1010" s="114"/>
      <c r="J1010" s="114"/>
    </row>
    <row r="1011" spans="9:10" s="8" customFormat="1">
      <c r="I1011" s="114"/>
      <c r="J1011" s="114"/>
    </row>
    <row r="1012" spans="9:10" s="8" customFormat="1">
      <c r="I1012" s="114"/>
      <c r="J1012" s="114"/>
    </row>
    <row r="1013" spans="9:10" s="8" customFormat="1">
      <c r="I1013" s="114"/>
      <c r="J1013" s="114"/>
    </row>
    <row r="1014" spans="9:10" s="8" customFormat="1">
      <c r="I1014" s="114"/>
      <c r="J1014" s="114"/>
    </row>
    <row r="1015" spans="9:10" s="8" customFormat="1">
      <c r="I1015" s="114"/>
      <c r="J1015" s="114"/>
    </row>
    <row r="1016" spans="9:10" s="8" customFormat="1">
      <c r="I1016" s="114"/>
      <c r="J1016" s="114"/>
    </row>
    <row r="1017" spans="9:10" s="8" customFormat="1">
      <c r="I1017" s="114"/>
      <c r="J1017" s="114"/>
    </row>
    <row r="1018" spans="9:10" s="8" customFormat="1">
      <c r="I1018" s="114"/>
      <c r="J1018" s="114"/>
    </row>
    <row r="1019" spans="9:10" s="8" customFormat="1">
      <c r="I1019" s="114"/>
      <c r="J1019" s="114"/>
    </row>
    <row r="1020" spans="9:10" s="8" customFormat="1">
      <c r="I1020" s="114"/>
      <c r="J1020" s="114"/>
    </row>
    <row r="1021" spans="9:10" s="8" customFormat="1">
      <c r="I1021" s="114"/>
      <c r="J1021" s="114"/>
    </row>
    <row r="1022" spans="9:10" s="8" customFormat="1">
      <c r="I1022" s="114"/>
      <c r="J1022" s="114"/>
    </row>
    <row r="1023" spans="9:10" s="8" customFormat="1">
      <c r="I1023" s="114"/>
      <c r="J1023" s="114"/>
    </row>
    <row r="1024" spans="9:10" s="8" customFormat="1">
      <c r="I1024" s="114"/>
      <c r="J1024" s="114"/>
    </row>
    <row r="1025" spans="9:10" s="8" customFormat="1">
      <c r="I1025" s="114"/>
      <c r="J1025" s="114"/>
    </row>
    <row r="1026" spans="9:10" s="8" customFormat="1">
      <c r="I1026" s="114"/>
      <c r="J1026" s="114"/>
    </row>
    <row r="1027" spans="9:10" s="8" customFormat="1">
      <c r="I1027" s="114"/>
      <c r="J1027" s="114"/>
    </row>
    <row r="1028" spans="9:10" s="8" customFormat="1">
      <c r="I1028" s="114"/>
      <c r="J1028" s="114"/>
    </row>
    <row r="1029" spans="9:10" s="8" customFormat="1">
      <c r="I1029" s="114"/>
      <c r="J1029" s="114"/>
    </row>
    <row r="1030" spans="9:10" s="8" customFormat="1">
      <c r="I1030" s="114"/>
      <c r="J1030" s="114"/>
    </row>
    <row r="1031" spans="9:10" s="8" customFormat="1">
      <c r="I1031" s="114"/>
      <c r="J1031" s="114"/>
    </row>
    <row r="1032" spans="9:10" s="8" customFormat="1">
      <c r="I1032" s="114"/>
      <c r="J1032" s="114"/>
    </row>
    <row r="1033" spans="9:10" s="8" customFormat="1">
      <c r="I1033" s="114"/>
      <c r="J1033" s="114"/>
    </row>
    <row r="1034" spans="9:10" s="8" customFormat="1">
      <c r="I1034" s="114"/>
      <c r="J1034" s="114"/>
    </row>
    <row r="1035" spans="9:10" s="8" customFormat="1">
      <c r="I1035" s="114"/>
      <c r="J1035" s="114"/>
    </row>
    <row r="1036" spans="9:10" s="8" customFormat="1">
      <c r="I1036" s="114"/>
      <c r="J1036" s="114"/>
    </row>
    <row r="1037" spans="9:10" s="8" customFormat="1">
      <c r="I1037" s="114"/>
      <c r="J1037" s="114"/>
    </row>
    <row r="1038" spans="9:10" s="8" customFormat="1">
      <c r="I1038" s="114"/>
      <c r="J1038" s="114"/>
    </row>
    <row r="1039" spans="9:10" s="8" customFormat="1">
      <c r="I1039" s="114"/>
      <c r="J1039" s="114"/>
    </row>
    <row r="1040" spans="9:10" s="8" customFormat="1">
      <c r="I1040" s="114"/>
      <c r="J1040" s="114"/>
    </row>
    <row r="1041" spans="9:10" s="8" customFormat="1">
      <c r="I1041" s="114"/>
      <c r="J1041" s="114"/>
    </row>
    <row r="1042" spans="9:10" s="8" customFormat="1">
      <c r="I1042" s="114"/>
      <c r="J1042" s="114"/>
    </row>
    <row r="1043" spans="9:10" s="8" customFormat="1">
      <c r="I1043" s="114"/>
      <c r="J1043" s="114"/>
    </row>
    <row r="1044" spans="9:10" s="8" customFormat="1">
      <c r="I1044" s="114"/>
      <c r="J1044" s="114"/>
    </row>
    <row r="1045" spans="9:10" s="8" customFormat="1">
      <c r="I1045" s="114"/>
      <c r="J1045" s="114"/>
    </row>
    <row r="1046" spans="9:10" s="8" customFormat="1">
      <c r="I1046" s="114"/>
      <c r="J1046" s="114"/>
    </row>
    <row r="1047" spans="9:10" s="8" customFormat="1">
      <c r="I1047" s="114"/>
      <c r="J1047" s="114"/>
    </row>
    <row r="1048" spans="9:10" s="8" customFormat="1">
      <c r="I1048" s="114"/>
      <c r="J1048" s="114"/>
    </row>
    <row r="1049" spans="9:10" s="8" customFormat="1">
      <c r="I1049" s="114"/>
      <c r="J1049" s="114"/>
    </row>
    <row r="1050" spans="9:10" s="8" customFormat="1">
      <c r="I1050" s="114"/>
      <c r="J1050" s="114"/>
    </row>
    <row r="1051" spans="9:10" s="8" customFormat="1">
      <c r="I1051" s="114"/>
      <c r="J1051" s="114"/>
    </row>
    <row r="1052" spans="9:10" s="8" customFormat="1">
      <c r="I1052" s="114"/>
      <c r="J1052" s="114"/>
    </row>
    <row r="1053" spans="9:10" s="8" customFormat="1">
      <c r="I1053" s="114"/>
      <c r="J1053" s="114"/>
    </row>
    <row r="1054" spans="9:10" s="8" customFormat="1">
      <c r="I1054" s="114"/>
      <c r="J1054" s="114"/>
    </row>
    <row r="1055" spans="9:10" s="8" customFormat="1">
      <c r="I1055" s="114"/>
      <c r="J1055" s="114"/>
    </row>
    <row r="1056" spans="9:10" s="8" customFormat="1">
      <c r="I1056" s="114"/>
      <c r="J1056" s="114"/>
    </row>
    <row r="1057" spans="9:10" s="8" customFormat="1">
      <c r="I1057" s="114"/>
      <c r="J1057" s="114"/>
    </row>
    <row r="1058" spans="9:10" s="8" customFormat="1">
      <c r="I1058" s="114"/>
      <c r="J1058" s="114"/>
    </row>
    <row r="1059" spans="9:10" s="8" customFormat="1">
      <c r="I1059" s="114"/>
      <c r="J1059" s="114"/>
    </row>
    <row r="1060" spans="9:10" s="8" customFormat="1">
      <c r="I1060" s="114"/>
      <c r="J1060" s="114"/>
    </row>
    <row r="1061" spans="9:10" s="8" customFormat="1">
      <c r="I1061" s="114"/>
      <c r="J1061" s="114"/>
    </row>
    <row r="1062" spans="9:10" s="8" customFormat="1">
      <c r="I1062" s="114"/>
      <c r="J1062" s="114"/>
    </row>
    <row r="1063" spans="9:10" s="8" customFormat="1">
      <c r="I1063" s="114"/>
      <c r="J1063" s="114"/>
    </row>
    <row r="1064" spans="9:10" s="8" customFormat="1">
      <c r="I1064" s="114"/>
      <c r="J1064" s="114"/>
    </row>
    <row r="1065" spans="9:10" s="8" customFormat="1">
      <c r="I1065" s="114"/>
      <c r="J1065" s="114"/>
    </row>
    <row r="1066" spans="9:10" s="8" customFormat="1">
      <c r="I1066" s="114"/>
      <c r="J1066" s="114"/>
    </row>
    <row r="1067" spans="9:10" s="8" customFormat="1">
      <c r="I1067" s="114"/>
      <c r="J1067" s="114"/>
    </row>
    <row r="1068" spans="9:10" s="8" customFormat="1">
      <c r="I1068" s="114"/>
      <c r="J1068" s="114"/>
    </row>
    <row r="1069" spans="9:10" s="8" customFormat="1">
      <c r="I1069" s="114"/>
      <c r="J1069" s="114"/>
    </row>
    <row r="1070" spans="9:10" s="8" customFormat="1">
      <c r="I1070" s="114"/>
      <c r="J1070" s="114"/>
    </row>
    <row r="1071" spans="9:10" s="8" customFormat="1">
      <c r="I1071" s="114"/>
      <c r="J1071" s="114"/>
    </row>
    <row r="1072" spans="9:10" s="8" customFormat="1">
      <c r="I1072" s="114"/>
      <c r="J1072" s="114"/>
    </row>
    <row r="1073" spans="9:10" s="8" customFormat="1">
      <c r="I1073" s="114"/>
      <c r="J1073" s="114"/>
    </row>
    <row r="1074" spans="9:10" s="8" customFormat="1">
      <c r="I1074" s="114"/>
      <c r="J1074" s="114"/>
    </row>
    <row r="1075" spans="9:10" s="8" customFormat="1">
      <c r="I1075" s="114"/>
      <c r="J1075" s="114"/>
    </row>
    <row r="1076" spans="9:10" s="8" customFormat="1">
      <c r="I1076" s="114"/>
      <c r="J1076" s="114"/>
    </row>
    <row r="1077" spans="9:10" s="8" customFormat="1">
      <c r="I1077" s="114"/>
      <c r="J1077" s="114"/>
    </row>
    <row r="1078" spans="9:10" s="8" customFormat="1">
      <c r="I1078" s="114"/>
      <c r="J1078" s="114"/>
    </row>
    <row r="1079" spans="9:10" s="8" customFormat="1">
      <c r="I1079" s="114"/>
      <c r="J1079" s="114"/>
    </row>
    <row r="1080" spans="9:10" s="8" customFormat="1">
      <c r="I1080" s="114"/>
      <c r="J1080" s="114"/>
    </row>
    <row r="1081" spans="9:10" s="8" customFormat="1">
      <c r="I1081" s="114"/>
      <c r="J1081" s="114"/>
    </row>
    <row r="1082" spans="9:10" s="8" customFormat="1">
      <c r="I1082" s="114"/>
      <c r="J1082" s="114"/>
    </row>
    <row r="1083" spans="9:10" s="8" customFormat="1">
      <c r="I1083" s="114"/>
      <c r="J1083" s="114"/>
    </row>
    <row r="1084" spans="9:10" s="8" customFormat="1">
      <c r="I1084" s="114"/>
      <c r="J1084" s="114"/>
    </row>
    <row r="1085" spans="9:10" s="8" customFormat="1">
      <c r="I1085" s="114"/>
      <c r="J1085" s="114"/>
    </row>
    <row r="1086" spans="9:10" s="8" customFormat="1">
      <c r="I1086" s="114"/>
      <c r="J1086" s="114"/>
    </row>
    <row r="1087" spans="9:10" s="8" customFormat="1">
      <c r="I1087" s="114"/>
      <c r="J1087" s="114"/>
    </row>
    <row r="1088" spans="9:10" s="8" customFormat="1">
      <c r="I1088" s="114"/>
      <c r="J1088" s="114"/>
    </row>
    <row r="1089" spans="9:10" s="8" customFormat="1">
      <c r="I1089" s="114"/>
      <c r="J1089" s="114"/>
    </row>
    <row r="1090" spans="9:10" s="8" customFormat="1">
      <c r="I1090" s="114"/>
      <c r="J1090" s="114"/>
    </row>
    <row r="1091" spans="9:10" s="8" customFormat="1">
      <c r="I1091" s="114"/>
      <c r="J1091" s="114"/>
    </row>
    <row r="1092" spans="9:10" s="8" customFormat="1">
      <c r="I1092" s="114"/>
      <c r="J1092" s="114"/>
    </row>
    <row r="1093" spans="9:10" s="8" customFormat="1">
      <c r="I1093" s="114"/>
      <c r="J1093" s="114"/>
    </row>
    <row r="1094" spans="9:10" s="8" customFormat="1">
      <c r="I1094" s="114"/>
      <c r="J1094" s="114"/>
    </row>
    <row r="1095" spans="9:10" s="8" customFormat="1">
      <c r="I1095" s="114"/>
      <c r="J1095" s="114"/>
    </row>
    <row r="1096" spans="9:10" s="8" customFormat="1">
      <c r="I1096" s="114"/>
      <c r="J1096" s="114"/>
    </row>
    <row r="1097" spans="9:10" s="8" customFormat="1">
      <c r="I1097" s="114"/>
      <c r="J1097" s="114"/>
    </row>
    <row r="1098" spans="9:10" s="8" customFormat="1">
      <c r="I1098" s="114"/>
      <c r="J1098" s="114"/>
    </row>
    <row r="1099" spans="9:10" s="8" customFormat="1">
      <c r="I1099" s="114"/>
      <c r="J1099" s="114"/>
    </row>
    <row r="1100" spans="9:10" s="8" customFormat="1">
      <c r="I1100" s="114"/>
      <c r="J1100" s="114"/>
    </row>
    <row r="1101" spans="9:10" s="8" customFormat="1">
      <c r="I1101" s="114"/>
      <c r="J1101" s="114"/>
    </row>
    <row r="1102" spans="9:10" s="8" customFormat="1">
      <c r="I1102" s="114"/>
      <c r="J1102" s="114"/>
    </row>
    <row r="1103" spans="9:10" s="8" customFormat="1">
      <c r="I1103" s="114"/>
      <c r="J1103" s="114"/>
    </row>
    <row r="1104" spans="9:10" s="8" customFormat="1">
      <c r="I1104" s="114"/>
      <c r="J1104" s="114"/>
    </row>
    <row r="1105" spans="9:10" s="8" customFormat="1">
      <c r="I1105" s="114"/>
      <c r="J1105" s="114"/>
    </row>
    <row r="1106" spans="9:10" s="8" customFormat="1">
      <c r="I1106" s="114"/>
      <c r="J1106" s="114"/>
    </row>
    <row r="1107" spans="9:10" s="8" customFormat="1">
      <c r="I1107" s="114"/>
      <c r="J1107" s="114"/>
    </row>
    <row r="1108" spans="9:10" s="8" customFormat="1">
      <c r="I1108" s="114"/>
      <c r="J1108" s="114"/>
    </row>
    <row r="1109" spans="9:10" s="8" customFormat="1">
      <c r="I1109" s="114"/>
      <c r="J1109" s="114"/>
    </row>
    <row r="1110" spans="9:10" s="8" customFormat="1">
      <c r="I1110" s="114"/>
      <c r="J1110" s="114"/>
    </row>
    <row r="1111" spans="9:10" s="8" customFormat="1">
      <c r="I1111" s="114"/>
      <c r="J1111" s="114"/>
    </row>
    <row r="1112" spans="9:10" s="8" customFormat="1">
      <c r="I1112" s="114"/>
      <c r="J1112" s="114"/>
    </row>
    <row r="1113" spans="9:10" s="8" customFormat="1">
      <c r="I1113" s="114"/>
      <c r="J1113" s="114"/>
    </row>
    <row r="1114" spans="9:10" s="8" customFormat="1">
      <c r="I1114" s="114"/>
      <c r="J1114" s="114"/>
    </row>
    <row r="1115" spans="9:10" s="8" customFormat="1">
      <c r="I1115" s="114"/>
      <c r="J1115" s="114"/>
    </row>
    <row r="1116" spans="9:10" s="8" customFormat="1">
      <c r="I1116" s="114"/>
      <c r="J1116" s="114"/>
    </row>
    <row r="1117" spans="9:10" s="8" customFormat="1">
      <c r="I1117" s="114"/>
      <c r="J1117" s="114"/>
    </row>
    <row r="1118" spans="9:10" s="8" customFormat="1">
      <c r="I1118" s="114"/>
      <c r="J1118" s="114"/>
    </row>
    <row r="1119" spans="9:10" s="8" customFormat="1">
      <c r="I1119" s="114"/>
      <c r="J1119" s="114"/>
    </row>
    <row r="1120" spans="9:10" s="8" customFormat="1">
      <c r="I1120" s="114"/>
      <c r="J1120" s="114"/>
    </row>
    <row r="1121" spans="9:10" s="8" customFormat="1">
      <c r="I1121" s="114"/>
      <c r="J1121" s="114"/>
    </row>
    <row r="1122" spans="9:10" s="8" customFormat="1">
      <c r="I1122" s="114"/>
      <c r="J1122" s="114"/>
    </row>
    <row r="1123" spans="9:10" s="8" customFormat="1">
      <c r="I1123" s="114"/>
      <c r="J1123" s="114"/>
    </row>
    <row r="1124" spans="9:10" s="8" customFormat="1">
      <c r="I1124" s="114"/>
      <c r="J1124" s="114"/>
    </row>
    <row r="1125" spans="9:10" s="8" customFormat="1">
      <c r="I1125" s="114"/>
      <c r="J1125" s="114"/>
    </row>
    <row r="1126" spans="9:10" s="8" customFormat="1">
      <c r="I1126" s="114"/>
      <c r="J1126" s="114"/>
    </row>
    <row r="1127" spans="9:10" s="8" customFormat="1">
      <c r="I1127" s="114"/>
      <c r="J1127" s="114"/>
    </row>
    <row r="1128" spans="9:10" s="8" customFormat="1">
      <c r="I1128" s="114"/>
      <c r="J1128" s="114"/>
    </row>
    <row r="1129" spans="9:10" s="8" customFormat="1">
      <c r="I1129" s="114"/>
      <c r="J1129" s="114"/>
    </row>
    <row r="1130" spans="9:10" s="8" customFormat="1">
      <c r="I1130" s="114"/>
      <c r="J1130" s="114"/>
    </row>
    <row r="1131" spans="9:10" s="8" customFormat="1">
      <c r="I1131" s="114"/>
      <c r="J1131" s="114"/>
    </row>
    <row r="1132" spans="9:10" s="8" customFormat="1">
      <c r="I1132" s="114"/>
      <c r="J1132" s="114"/>
    </row>
    <row r="1133" spans="9:10" s="8" customFormat="1">
      <c r="I1133" s="114"/>
      <c r="J1133" s="114"/>
    </row>
    <row r="1134" spans="9:10" s="8" customFormat="1">
      <c r="I1134" s="114"/>
      <c r="J1134" s="114"/>
    </row>
    <row r="1135" spans="9:10" s="8" customFormat="1">
      <c r="I1135" s="114"/>
      <c r="J1135" s="114"/>
    </row>
    <row r="1136" spans="9:10" s="8" customFormat="1">
      <c r="I1136" s="114"/>
      <c r="J1136" s="114"/>
    </row>
    <row r="1137" spans="9:10" s="8" customFormat="1">
      <c r="I1137" s="114"/>
      <c r="J1137" s="114"/>
    </row>
    <row r="1138" spans="9:10" s="8" customFormat="1">
      <c r="I1138" s="114"/>
      <c r="J1138" s="114"/>
    </row>
    <row r="1139" spans="9:10" s="8" customFormat="1">
      <c r="I1139" s="114"/>
      <c r="J1139" s="114"/>
    </row>
    <row r="1140" spans="9:10" s="8" customFormat="1">
      <c r="I1140" s="114"/>
      <c r="J1140" s="114"/>
    </row>
    <row r="1141" spans="9:10" s="8" customFormat="1">
      <c r="I1141" s="114"/>
      <c r="J1141" s="114"/>
    </row>
    <row r="1142" spans="9:10" s="8" customFormat="1">
      <c r="I1142" s="114"/>
      <c r="J1142" s="114"/>
    </row>
    <row r="1143" spans="9:10" s="8" customFormat="1">
      <c r="I1143" s="114"/>
      <c r="J1143" s="114"/>
    </row>
    <row r="1144" spans="9:10" s="8" customFormat="1">
      <c r="I1144" s="114"/>
      <c r="J1144" s="114"/>
    </row>
    <row r="1145" spans="9:10" s="8" customFormat="1">
      <c r="I1145" s="114"/>
      <c r="J1145" s="114"/>
    </row>
    <row r="1146" spans="9:10" s="8" customFormat="1">
      <c r="I1146" s="114"/>
      <c r="J1146" s="114"/>
    </row>
    <row r="1147" spans="9:10" s="8" customFormat="1">
      <c r="I1147" s="114"/>
      <c r="J1147" s="114"/>
    </row>
    <row r="1148" spans="9:10" s="8" customFormat="1">
      <c r="I1148" s="114"/>
      <c r="J1148" s="114"/>
    </row>
    <row r="1149" spans="9:10" s="8" customFormat="1">
      <c r="I1149" s="114"/>
      <c r="J1149" s="114"/>
    </row>
    <row r="1150" spans="9:10" s="8" customFormat="1">
      <c r="I1150" s="114"/>
      <c r="J1150" s="114"/>
    </row>
    <row r="1151" spans="9:10" s="8" customFormat="1">
      <c r="I1151" s="114"/>
      <c r="J1151" s="114"/>
    </row>
    <row r="1152" spans="9:10" s="8" customFormat="1">
      <c r="I1152" s="114"/>
      <c r="J1152" s="114"/>
    </row>
    <row r="1153" spans="9:10" s="8" customFormat="1">
      <c r="I1153" s="114"/>
      <c r="J1153" s="114"/>
    </row>
    <row r="1154" spans="9:10" s="8" customFormat="1">
      <c r="I1154" s="114"/>
      <c r="J1154" s="114"/>
    </row>
    <row r="1155" spans="9:10" s="8" customFormat="1">
      <c r="I1155" s="114"/>
      <c r="J1155" s="114"/>
    </row>
    <row r="1156" spans="9:10" s="8" customFormat="1">
      <c r="I1156" s="114"/>
      <c r="J1156" s="114"/>
    </row>
    <row r="1157" spans="9:10" s="8" customFormat="1">
      <c r="I1157" s="114"/>
      <c r="J1157" s="114"/>
    </row>
    <row r="1158" spans="9:10" s="8" customFormat="1">
      <c r="I1158" s="114"/>
      <c r="J1158" s="114"/>
    </row>
    <row r="1159" spans="9:10" s="8" customFormat="1">
      <c r="I1159" s="114"/>
      <c r="J1159" s="114"/>
    </row>
    <row r="1160" spans="9:10" s="8" customFormat="1">
      <c r="I1160" s="114"/>
      <c r="J1160" s="114"/>
    </row>
    <row r="1161" spans="9:10" s="8" customFormat="1">
      <c r="I1161" s="114"/>
      <c r="J1161" s="114"/>
    </row>
    <row r="1162" spans="9:10" s="8" customFormat="1">
      <c r="I1162" s="114"/>
      <c r="J1162" s="114"/>
    </row>
    <row r="1163" spans="9:10" s="8" customFormat="1">
      <c r="I1163" s="114"/>
      <c r="J1163" s="114"/>
    </row>
    <row r="1164" spans="9:10" s="8" customFormat="1">
      <c r="I1164" s="114"/>
      <c r="J1164" s="114"/>
    </row>
    <row r="1165" spans="9:10" s="8" customFormat="1">
      <c r="I1165" s="114"/>
      <c r="J1165" s="114"/>
    </row>
    <row r="1166" spans="9:10" s="8" customFormat="1">
      <c r="I1166" s="114"/>
      <c r="J1166" s="114"/>
    </row>
    <row r="1167" spans="9:10" s="8" customFormat="1">
      <c r="I1167" s="114"/>
      <c r="J1167" s="114"/>
    </row>
    <row r="1168" spans="9:10" s="8" customFormat="1">
      <c r="I1168" s="114"/>
      <c r="J1168" s="114"/>
    </row>
    <row r="1169" spans="9:10" s="8" customFormat="1">
      <c r="I1169" s="114"/>
      <c r="J1169" s="114"/>
    </row>
    <row r="1170" spans="9:10" s="8" customFormat="1">
      <c r="I1170" s="114"/>
      <c r="J1170" s="114"/>
    </row>
    <row r="1171" spans="9:10" s="8" customFormat="1">
      <c r="I1171" s="114"/>
      <c r="J1171" s="114"/>
    </row>
    <row r="1172" spans="9:10" s="8" customFormat="1">
      <c r="I1172" s="114"/>
      <c r="J1172" s="114"/>
    </row>
    <row r="1173" spans="9:10" s="8" customFormat="1">
      <c r="I1173" s="114"/>
      <c r="J1173" s="114"/>
    </row>
    <row r="1174" spans="9:10" s="8" customFormat="1">
      <c r="I1174" s="114"/>
      <c r="J1174" s="114"/>
    </row>
    <row r="1175" spans="9:10" s="8" customFormat="1">
      <c r="I1175" s="114"/>
      <c r="J1175" s="114"/>
    </row>
    <row r="1176" spans="9:10" s="8" customFormat="1">
      <c r="I1176" s="114"/>
      <c r="J1176" s="114"/>
    </row>
    <row r="1177" spans="9:10" s="8" customFormat="1">
      <c r="I1177" s="114"/>
      <c r="J1177" s="114"/>
    </row>
    <row r="1178" spans="9:10" s="8" customFormat="1">
      <c r="I1178" s="114"/>
      <c r="J1178" s="114"/>
    </row>
    <row r="1179" spans="9:10" s="8" customFormat="1">
      <c r="I1179" s="114"/>
      <c r="J1179" s="114"/>
    </row>
    <row r="1180" spans="9:10" s="8" customFormat="1">
      <c r="I1180" s="114"/>
      <c r="J1180" s="114"/>
    </row>
    <row r="1181" spans="9:10" s="8" customFormat="1">
      <c r="I1181" s="114"/>
      <c r="J1181" s="114"/>
    </row>
    <row r="1182" spans="9:10" s="8" customFormat="1">
      <c r="I1182" s="114"/>
      <c r="J1182" s="114"/>
    </row>
    <row r="1183" spans="9:10" s="8" customFormat="1">
      <c r="I1183" s="114"/>
      <c r="J1183" s="114"/>
    </row>
    <row r="1184" spans="9:10" s="8" customFormat="1">
      <c r="I1184" s="114"/>
      <c r="J1184" s="114"/>
    </row>
    <row r="1185" spans="9:10" s="8" customFormat="1">
      <c r="I1185" s="114"/>
      <c r="J1185" s="114"/>
    </row>
    <row r="1186" spans="9:10" s="8" customFormat="1">
      <c r="I1186" s="114"/>
      <c r="J1186" s="114"/>
    </row>
    <row r="1187" spans="9:10" s="8" customFormat="1">
      <c r="I1187" s="114"/>
      <c r="J1187" s="114"/>
    </row>
    <row r="1188" spans="9:10" s="8" customFormat="1">
      <c r="I1188" s="114"/>
      <c r="J1188" s="114"/>
    </row>
    <row r="1189" spans="9:10" s="8" customFormat="1">
      <c r="I1189" s="114"/>
      <c r="J1189" s="114"/>
    </row>
    <row r="1190" spans="9:10" s="8" customFormat="1">
      <c r="I1190" s="114"/>
      <c r="J1190" s="114"/>
    </row>
    <row r="1191" spans="9:10" s="8" customFormat="1">
      <c r="I1191" s="114"/>
      <c r="J1191" s="114"/>
    </row>
    <row r="1192" spans="9:10" s="8" customFormat="1">
      <c r="I1192" s="114"/>
      <c r="J1192" s="114"/>
    </row>
    <row r="1193" spans="9:10" s="8" customFormat="1">
      <c r="I1193" s="114"/>
      <c r="J1193" s="114"/>
    </row>
    <row r="1194" spans="9:10" s="8" customFormat="1">
      <c r="I1194" s="114"/>
      <c r="J1194" s="114"/>
    </row>
    <row r="1195" spans="9:10" s="8" customFormat="1">
      <c r="I1195" s="114"/>
      <c r="J1195" s="114"/>
    </row>
    <row r="1196" spans="9:10" s="8" customFormat="1">
      <c r="I1196" s="114"/>
      <c r="J1196" s="114"/>
    </row>
    <row r="1197" spans="9:10" s="8" customFormat="1">
      <c r="I1197" s="114"/>
      <c r="J1197" s="114"/>
    </row>
    <row r="1198" spans="9:10" s="8" customFormat="1">
      <c r="I1198" s="114"/>
      <c r="J1198" s="114"/>
    </row>
    <row r="1199" spans="9:10" s="8" customFormat="1">
      <c r="I1199" s="114"/>
      <c r="J1199" s="114"/>
    </row>
    <row r="1200" spans="9:10" s="8" customFormat="1">
      <c r="I1200" s="114"/>
      <c r="J1200" s="114"/>
    </row>
    <row r="1201" spans="9:10" s="8" customFormat="1">
      <c r="I1201" s="114"/>
      <c r="J1201" s="114"/>
    </row>
    <row r="1202" spans="9:10" s="8" customFormat="1">
      <c r="I1202" s="114"/>
      <c r="J1202" s="114"/>
    </row>
    <row r="1203" spans="9:10" s="8" customFormat="1">
      <c r="I1203" s="114"/>
      <c r="J1203" s="114"/>
    </row>
    <row r="1204" spans="9:10" s="8" customFormat="1">
      <c r="I1204" s="114"/>
      <c r="J1204" s="114"/>
    </row>
    <row r="1205" spans="9:10" s="8" customFormat="1">
      <c r="I1205" s="114"/>
      <c r="J1205" s="114"/>
    </row>
    <row r="1206" spans="9:10" s="8" customFormat="1">
      <c r="I1206" s="114"/>
      <c r="J1206" s="114"/>
    </row>
    <row r="1207" spans="9:10" s="8" customFormat="1">
      <c r="I1207" s="114"/>
      <c r="J1207" s="114"/>
    </row>
    <row r="1208" spans="9:10" s="8" customFormat="1">
      <c r="I1208" s="114"/>
      <c r="J1208" s="114"/>
    </row>
    <row r="1209" spans="9:10" s="8" customFormat="1">
      <c r="I1209" s="114"/>
      <c r="J1209" s="114"/>
    </row>
    <row r="1210" spans="9:10" s="8" customFormat="1">
      <c r="I1210" s="114"/>
      <c r="J1210" s="114"/>
    </row>
    <row r="1211" spans="9:10" s="8" customFormat="1">
      <c r="I1211" s="114"/>
      <c r="J1211" s="114"/>
    </row>
    <row r="1212" spans="9:10" s="8" customFormat="1">
      <c r="I1212" s="114"/>
      <c r="J1212" s="114"/>
    </row>
    <row r="1213" spans="9:10" s="8" customFormat="1">
      <c r="I1213" s="114"/>
      <c r="J1213" s="114"/>
    </row>
    <row r="1214" spans="9:10" s="8" customFormat="1">
      <c r="I1214" s="114"/>
      <c r="J1214" s="114"/>
    </row>
    <row r="1215" spans="9:10" s="8" customFormat="1">
      <c r="I1215" s="114"/>
      <c r="J1215" s="114"/>
    </row>
    <row r="1216" spans="9:10" s="8" customFormat="1">
      <c r="I1216" s="114"/>
      <c r="J1216" s="114"/>
    </row>
    <row r="1217" spans="9:10" s="8" customFormat="1">
      <c r="I1217" s="114"/>
      <c r="J1217" s="114"/>
    </row>
    <row r="1218" spans="9:10" s="8" customFormat="1">
      <c r="I1218" s="114"/>
      <c r="J1218" s="114"/>
    </row>
    <row r="1219" spans="9:10" s="8" customFormat="1">
      <c r="I1219" s="114"/>
      <c r="J1219" s="114"/>
    </row>
    <row r="1220" spans="9:10" s="8" customFormat="1">
      <c r="I1220" s="114"/>
      <c r="J1220" s="114"/>
    </row>
    <row r="1221" spans="9:10" s="8" customFormat="1">
      <c r="I1221" s="114"/>
      <c r="J1221" s="114"/>
    </row>
    <row r="1222" spans="9:10" s="8" customFormat="1">
      <c r="I1222" s="114"/>
      <c r="J1222" s="114"/>
    </row>
    <row r="1223" spans="9:10" s="8" customFormat="1">
      <c r="I1223" s="114"/>
      <c r="J1223" s="114"/>
    </row>
    <row r="1224" spans="9:10" s="8" customFormat="1">
      <c r="I1224" s="114"/>
      <c r="J1224" s="114"/>
    </row>
    <row r="1225" spans="9:10" s="8" customFormat="1">
      <c r="I1225" s="114"/>
      <c r="J1225" s="114"/>
    </row>
    <row r="1226" spans="9:10" s="8" customFormat="1">
      <c r="I1226" s="114"/>
      <c r="J1226" s="114"/>
    </row>
    <row r="1227" spans="9:10" s="8" customFormat="1">
      <c r="I1227" s="114"/>
      <c r="J1227" s="114"/>
    </row>
    <row r="1228" spans="9:10" s="8" customFormat="1">
      <c r="I1228" s="114"/>
      <c r="J1228" s="114"/>
    </row>
    <row r="1229" spans="9:10" s="8" customFormat="1">
      <c r="I1229" s="114"/>
      <c r="J1229" s="114"/>
    </row>
    <row r="1230" spans="9:10" s="8" customFormat="1">
      <c r="I1230" s="114"/>
      <c r="J1230" s="114"/>
    </row>
    <row r="1231" spans="9:10" s="8" customFormat="1">
      <c r="I1231" s="114"/>
      <c r="J1231" s="114"/>
    </row>
    <row r="1232" spans="9:10" s="8" customFormat="1">
      <c r="I1232" s="114"/>
      <c r="J1232" s="114"/>
    </row>
    <row r="1233" spans="9:10" s="8" customFormat="1">
      <c r="I1233" s="114"/>
      <c r="J1233" s="114"/>
    </row>
    <row r="1234" spans="9:10" s="8" customFormat="1">
      <c r="I1234" s="114"/>
      <c r="J1234" s="114"/>
    </row>
    <row r="1235" spans="9:10" s="8" customFormat="1">
      <c r="I1235" s="114"/>
      <c r="J1235" s="114"/>
    </row>
    <row r="1236" spans="9:10" s="8" customFormat="1">
      <c r="I1236" s="114"/>
      <c r="J1236" s="114"/>
    </row>
    <row r="1237" spans="9:10" s="8" customFormat="1">
      <c r="I1237" s="114"/>
      <c r="J1237" s="114"/>
    </row>
    <row r="1238" spans="9:10" s="8" customFormat="1">
      <c r="I1238" s="114"/>
      <c r="J1238" s="114"/>
    </row>
    <row r="1239" spans="9:10" s="8" customFormat="1">
      <c r="I1239" s="114"/>
      <c r="J1239" s="114"/>
    </row>
    <row r="1240" spans="9:10" s="8" customFormat="1">
      <c r="I1240" s="114"/>
      <c r="J1240" s="114"/>
    </row>
    <row r="1241" spans="9:10" s="8" customFormat="1">
      <c r="I1241" s="114"/>
      <c r="J1241" s="114"/>
    </row>
    <row r="1242" spans="9:10" s="8" customFormat="1">
      <c r="I1242" s="114"/>
      <c r="J1242" s="114"/>
    </row>
    <row r="1243" spans="9:10" s="8" customFormat="1">
      <c r="I1243" s="114"/>
      <c r="J1243" s="114"/>
    </row>
    <row r="1244" spans="9:10" s="8" customFormat="1">
      <c r="I1244" s="114"/>
      <c r="J1244" s="114"/>
    </row>
    <row r="1245" spans="9:10" s="8" customFormat="1">
      <c r="I1245" s="114"/>
      <c r="J1245" s="114"/>
    </row>
    <row r="1246" spans="9:10" s="8" customFormat="1">
      <c r="I1246" s="114"/>
      <c r="J1246" s="114"/>
    </row>
    <row r="1247" spans="9:10" s="8" customFormat="1">
      <c r="I1247" s="114"/>
      <c r="J1247" s="114"/>
    </row>
    <row r="1248" spans="9:10" s="8" customFormat="1">
      <c r="I1248" s="114"/>
      <c r="J1248" s="114"/>
    </row>
    <row r="1249" spans="9:10" s="8" customFormat="1">
      <c r="I1249" s="114"/>
      <c r="J1249" s="114"/>
    </row>
    <row r="1250" spans="9:10" s="8" customFormat="1">
      <c r="I1250" s="114"/>
      <c r="J1250" s="114"/>
    </row>
    <row r="1251" spans="9:10" s="8" customFormat="1">
      <c r="I1251" s="114"/>
      <c r="J1251" s="114"/>
    </row>
    <row r="1252" spans="9:10" s="8" customFormat="1">
      <c r="I1252" s="114"/>
      <c r="J1252" s="114"/>
    </row>
    <row r="1253" spans="9:10" s="8" customFormat="1">
      <c r="I1253" s="114"/>
      <c r="J1253" s="114"/>
    </row>
    <row r="1254" spans="9:10" s="8" customFormat="1">
      <c r="I1254" s="114"/>
      <c r="J1254" s="114"/>
    </row>
    <row r="1255" spans="9:10" s="8" customFormat="1">
      <c r="I1255" s="114"/>
      <c r="J1255" s="114"/>
    </row>
    <row r="1256" spans="9:10" s="8" customFormat="1">
      <c r="I1256" s="114"/>
      <c r="J1256" s="114"/>
    </row>
    <row r="1257" spans="9:10" s="8" customFormat="1">
      <c r="I1257" s="114"/>
      <c r="J1257" s="114"/>
    </row>
    <row r="1258" spans="9:10" s="8" customFormat="1">
      <c r="I1258" s="114"/>
      <c r="J1258" s="114"/>
    </row>
    <row r="1259" spans="9:10" s="8" customFormat="1">
      <c r="I1259" s="114"/>
      <c r="J1259" s="114"/>
    </row>
    <row r="1260" spans="9:10" s="8" customFormat="1">
      <c r="I1260" s="114"/>
      <c r="J1260" s="114"/>
    </row>
    <row r="1261" spans="9:10" s="8" customFormat="1">
      <c r="I1261" s="114"/>
      <c r="J1261" s="114"/>
    </row>
    <row r="1262" spans="9:10" s="8" customFormat="1">
      <c r="I1262" s="114"/>
      <c r="J1262" s="114"/>
    </row>
    <row r="1263" spans="9:10" s="8" customFormat="1">
      <c r="I1263" s="114"/>
      <c r="J1263" s="114"/>
    </row>
    <row r="1264" spans="9:10" s="8" customFormat="1">
      <c r="I1264" s="114"/>
      <c r="J1264" s="114"/>
    </row>
    <row r="1265" spans="9:10" s="8" customFormat="1">
      <c r="I1265" s="114"/>
      <c r="J1265" s="114"/>
    </row>
    <row r="1266" spans="9:10" s="8" customFormat="1">
      <c r="I1266" s="114"/>
      <c r="J1266" s="114"/>
    </row>
    <row r="1267" spans="9:10" s="8" customFormat="1">
      <c r="I1267" s="114"/>
      <c r="J1267" s="114"/>
    </row>
    <row r="1268" spans="9:10" s="8" customFormat="1">
      <c r="I1268" s="114"/>
      <c r="J1268" s="114"/>
    </row>
    <row r="1269" spans="9:10" s="8" customFormat="1">
      <c r="I1269" s="114"/>
      <c r="J1269" s="114"/>
    </row>
    <row r="1270" spans="9:10" s="8" customFormat="1">
      <c r="I1270" s="114"/>
      <c r="J1270" s="114"/>
    </row>
    <row r="1271" spans="9:10" s="8" customFormat="1">
      <c r="I1271" s="114"/>
      <c r="J1271" s="114"/>
    </row>
    <row r="1272" spans="9:10" s="8" customFormat="1">
      <c r="I1272" s="114"/>
      <c r="J1272" s="114"/>
    </row>
    <row r="1273" spans="9:10" s="8" customFormat="1">
      <c r="I1273" s="114"/>
      <c r="J1273" s="114"/>
    </row>
    <row r="1274" spans="9:10" s="8" customFormat="1">
      <c r="I1274" s="114"/>
      <c r="J1274" s="114"/>
    </row>
    <row r="1275" spans="9:10" s="8" customFormat="1">
      <c r="I1275" s="114"/>
      <c r="J1275" s="114"/>
    </row>
    <row r="1276" spans="9:10" s="8" customFormat="1">
      <c r="I1276" s="114"/>
      <c r="J1276" s="114"/>
    </row>
    <row r="1277" spans="9:10" s="8" customFormat="1">
      <c r="I1277" s="114"/>
      <c r="J1277" s="114"/>
    </row>
    <row r="1278" spans="9:10" s="8" customFormat="1">
      <c r="I1278" s="114"/>
      <c r="J1278" s="114"/>
    </row>
    <row r="1279" spans="9:10" s="8" customFormat="1">
      <c r="I1279" s="114"/>
      <c r="J1279" s="114"/>
    </row>
    <row r="1280" spans="9:10" s="8" customFormat="1">
      <c r="I1280" s="114"/>
      <c r="J1280" s="114"/>
    </row>
    <row r="1281" spans="9:10" s="8" customFormat="1">
      <c r="I1281" s="114"/>
      <c r="J1281" s="114"/>
    </row>
    <row r="1282" spans="9:10" s="8" customFormat="1">
      <c r="I1282" s="114"/>
      <c r="J1282" s="114"/>
    </row>
    <row r="1283" spans="9:10" s="8" customFormat="1">
      <c r="I1283" s="114"/>
      <c r="J1283" s="114"/>
    </row>
    <row r="1284" spans="9:10" s="8" customFormat="1">
      <c r="I1284" s="114"/>
      <c r="J1284" s="114"/>
    </row>
    <row r="1285" spans="9:10" s="8" customFormat="1">
      <c r="I1285" s="114"/>
      <c r="J1285" s="114"/>
    </row>
    <row r="1286" spans="9:10" s="8" customFormat="1">
      <c r="I1286" s="114"/>
      <c r="J1286" s="114"/>
    </row>
    <row r="1287" spans="9:10" s="8" customFormat="1">
      <c r="I1287" s="114"/>
      <c r="J1287" s="114"/>
    </row>
    <row r="1288" spans="9:10" s="8" customFormat="1">
      <c r="I1288" s="114"/>
      <c r="J1288" s="114"/>
    </row>
    <row r="1289" spans="9:10" s="8" customFormat="1">
      <c r="I1289" s="114"/>
      <c r="J1289" s="114"/>
    </row>
    <row r="1290" spans="9:10" s="8" customFormat="1">
      <c r="I1290" s="114"/>
      <c r="J1290" s="114"/>
    </row>
    <row r="1291" spans="9:10" s="8" customFormat="1">
      <c r="I1291" s="114"/>
      <c r="J1291" s="114"/>
    </row>
    <row r="1292" spans="9:10" s="8" customFormat="1">
      <c r="I1292" s="114"/>
      <c r="J1292" s="114"/>
    </row>
    <row r="1293" spans="9:10" s="8" customFormat="1">
      <c r="I1293" s="114"/>
      <c r="J1293" s="114"/>
    </row>
    <row r="1294" spans="9:10" s="8" customFormat="1">
      <c r="I1294" s="114"/>
      <c r="J1294" s="114"/>
    </row>
    <row r="1295" spans="9:10" s="8" customFormat="1">
      <c r="I1295" s="114"/>
      <c r="J1295" s="114"/>
    </row>
    <row r="1296" spans="9:10" s="8" customFormat="1">
      <c r="I1296" s="114"/>
      <c r="J1296" s="114"/>
    </row>
    <row r="1297" spans="9:10" s="8" customFormat="1">
      <c r="I1297" s="114"/>
      <c r="J1297" s="114"/>
    </row>
    <row r="1298" spans="9:10" s="8" customFormat="1">
      <c r="I1298" s="114"/>
      <c r="J1298" s="114"/>
    </row>
    <row r="1299" spans="9:10" s="8" customFormat="1">
      <c r="I1299" s="114"/>
      <c r="J1299" s="114"/>
    </row>
    <row r="1300" spans="9:10" s="8" customFormat="1">
      <c r="I1300" s="114"/>
      <c r="J1300" s="114"/>
    </row>
    <row r="1301" spans="9:10" s="8" customFormat="1">
      <c r="I1301" s="114"/>
      <c r="J1301" s="114"/>
    </row>
    <row r="1302" spans="9:10" s="8" customFormat="1">
      <c r="I1302" s="114"/>
      <c r="J1302" s="114"/>
    </row>
    <row r="1303" spans="9:10" s="8" customFormat="1">
      <c r="I1303" s="114"/>
      <c r="J1303" s="114"/>
    </row>
    <row r="1304" spans="9:10" s="8" customFormat="1">
      <c r="I1304" s="114"/>
      <c r="J1304" s="114"/>
    </row>
    <row r="1305" spans="9:10" s="8" customFormat="1">
      <c r="I1305" s="114"/>
      <c r="J1305" s="114"/>
    </row>
    <row r="1306" spans="9:10" s="8" customFormat="1">
      <c r="I1306" s="114"/>
      <c r="J1306" s="114"/>
    </row>
    <row r="1307" spans="9:10" s="8" customFormat="1">
      <c r="I1307" s="114"/>
      <c r="J1307" s="114"/>
    </row>
    <row r="1308" spans="9:10" s="8" customFormat="1">
      <c r="I1308" s="114"/>
      <c r="J1308" s="114"/>
    </row>
    <row r="1309" spans="9:10" s="8" customFormat="1">
      <c r="I1309" s="114"/>
      <c r="J1309" s="114"/>
    </row>
    <row r="1310" spans="9:10" s="8" customFormat="1">
      <c r="I1310" s="114"/>
      <c r="J1310" s="114"/>
    </row>
    <row r="1311" spans="9:10" s="8" customFormat="1">
      <c r="I1311" s="114"/>
      <c r="J1311" s="114"/>
    </row>
    <row r="1312" spans="9:10" s="8" customFormat="1">
      <c r="I1312" s="114"/>
      <c r="J1312" s="114"/>
    </row>
    <row r="1313" spans="9:10" s="8" customFormat="1">
      <c r="I1313" s="114"/>
      <c r="J1313" s="114"/>
    </row>
    <row r="1314" spans="9:10" s="8" customFormat="1">
      <c r="I1314" s="114"/>
      <c r="J1314" s="114"/>
    </row>
    <row r="1315" spans="9:10" s="8" customFormat="1">
      <c r="I1315" s="114"/>
      <c r="J1315" s="114"/>
    </row>
    <row r="1316" spans="9:10" s="8" customFormat="1">
      <c r="I1316" s="114"/>
      <c r="J1316" s="114"/>
    </row>
    <row r="1317" spans="9:10" s="8" customFormat="1">
      <c r="I1317" s="114"/>
      <c r="J1317" s="114"/>
    </row>
    <row r="1318" spans="9:10" s="8" customFormat="1">
      <c r="I1318" s="114"/>
      <c r="J1318" s="114"/>
    </row>
    <row r="1319" spans="9:10" s="8" customFormat="1">
      <c r="I1319" s="114"/>
      <c r="J1319" s="114"/>
    </row>
    <row r="1320" spans="9:10" s="8" customFormat="1">
      <c r="I1320" s="114"/>
      <c r="J1320" s="114"/>
    </row>
    <row r="1321" spans="9:10" s="8" customFormat="1">
      <c r="I1321" s="114"/>
      <c r="J1321" s="114"/>
    </row>
    <row r="1322" spans="9:10" s="8" customFormat="1">
      <c r="I1322" s="114"/>
      <c r="J1322" s="114"/>
    </row>
    <row r="1323" spans="9:10" s="8" customFormat="1">
      <c r="I1323" s="114"/>
      <c r="J1323" s="114"/>
    </row>
    <row r="1324" spans="9:10" s="8" customFormat="1">
      <c r="I1324" s="114"/>
      <c r="J1324" s="114"/>
    </row>
    <row r="1325" spans="9:10" s="8" customFormat="1">
      <c r="I1325" s="114"/>
      <c r="J1325" s="114"/>
    </row>
    <row r="1326" spans="9:10" s="8" customFormat="1">
      <c r="I1326" s="114"/>
      <c r="J1326" s="114"/>
    </row>
    <row r="1327" spans="9:10" s="8" customFormat="1">
      <c r="I1327" s="114"/>
      <c r="J1327" s="114"/>
    </row>
    <row r="1328" spans="9:10" s="8" customFormat="1">
      <c r="I1328" s="114"/>
      <c r="J1328" s="114"/>
    </row>
    <row r="1329" spans="9:10" s="8" customFormat="1">
      <c r="I1329" s="114"/>
      <c r="J1329" s="114"/>
    </row>
    <row r="1330" spans="9:10" s="8" customFormat="1">
      <c r="I1330" s="114"/>
      <c r="J1330" s="114"/>
    </row>
    <row r="1331" spans="9:10" s="8" customFormat="1">
      <c r="I1331" s="114"/>
      <c r="J1331" s="114"/>
    </row>
    <row r="1332" spans="9:10" s="8" customFormat="1">
      <c r="I1332" s="114"/>
      <c r="J1332" s="114"/>
    </row>
    <row r="1333" spans="9:10" s="8" customFormat="1">
      <c r="I1333" s="114"/>
      <c r="J1333" s="114"/>
    </row>
    <row r="1334" spans="9:10" s="8" customFormat="1">
      <c r="I1334" s="114"/>
      <c r="J1334" s="114"/>
    </row>
    <row r="1335" spans="9:10" s="8" customFormat="1">
      <c r="I1335" s="114"/>
      <c r="J1335" s="114"/>
    </row>
    <row r="1336" spans="9:10" s="8" customFormat="1">
      <c r="I1336" s="114"/>
      <c r="J1336" s="114"/>
    </row>
    <row r="1337" spans="9:10" s="8" customFormat="1">
      <c r="I1337" s="114"/>
      <c r="J1337" s="114"/>
    </row>
    <row r="1338" spans="9:10" s="8" customFormat="1">
      <c r="I1338" s="114"/>
      <c r="J1338" s="114"/>
    </row>
    <row r="1339" spans="9:10" s="8" customFormat="1">
      <c r="I1339" s="114"/>
      <c r="J1339" s="114"/>
    </row>
    <row r="1340" spans="9:10" s="8" customFormat="1">
      <c r="I1340" s="114"/>
      <c r="J1340" s="114"/>
    </row>
    <row r="1341" spans="9:10" s="8" customFormat="1">
      <c r="I1341" s="114"/>
      <c r="J1341" s="114"/>
    </row>
    <row r="1342" spans="9:10" s="8" customFormat="1">
      <c r="I1342" s="114"/>
      <c r="J1342" s="114"/>
    </row>
    <row r="1343" spans="9:10" s="8" customFormat="1">
      <c r="I1343" s="114"/>
      <c r="J1343" s="114"/>
    </row>
    <row r="1344" spans="9:10" s="8" customFormat="1">
      <c r="I1344" s="114"/>
      <c r="J1344" s="114"/>
    </row>
    <row r="1345" spans="9:10" s="8" customFormat="1">
      <c r="I1345" s="114"/>
      <c r="J1345" s="114"/>
    </row>
    <row r="1346" spans="9:10" s="8" customFormat="1">
      <c r="I1346" s="114"/>
      <c r="J1346" s="114"/>
    </row>
    <row r="1347" spans="9:10" s="8" customFormat="1">
      <c r="I1347" s="114"/>
      <c r="J1347" s="114"/>
    </row>
    <row r="1348" spans="9:10" s="8" customFormat="1">
      <c r="I1348" s="114"/>
      <c r="J1348" s="114"/>
    </row>
    <row r="1349" spans="9:10" s="8" customFormat="1">
      <c r="I1349" s="114"/>
      <c r="J1349" s="114"/>
    </row>
    <row r="1350" spans="9:10" s="8" customFormat="1">
      <c r="I1350" s="114"/>
      <c r="J1350" s="114"/>
    </row>
    <row r="1351" spans="9:10" s="8" customFormat="1">
      <c r="I1351" s="114"/>
      <c r="J1351" s="114"/>
    </row>
    <row r="1352" spans="9:10" s="8" customFormat="1">
      <c r="I1352" s="114"/>
      <c r="J1352" s="114"/>
    </row>
    <row r="1353" spans="9:10" s="8" customFormat="1">
      <c r="I1353" s="114"/>
      <c r="J1353" s="114"/>
    </row>
    <row r="1354" spans="9:10" s="8" customFormat="1">
      <c r="I1354" s="114"/>
      <c r="J1354" s="114"/>
    </row>
    <row r="1355" spans="9:10" s="8" customFormat="1">
      <c r="I1355" s="114"/>
      <c r="J1355" s="114"/>
    </row>
    <row r="1356" spans="9:10" s="8" customFormat="1">
      <c r="I1356" s="114"/>
      <c r="J1356" s="114"/>
    </row>
    <row r="1357" spans="9:10" s="8" customFormat="1">
      <c r="I1357" s="114"/>
      <c r="J1357" s="114"/>
    </row>
    <row r="1358" spans="9:10" s="8" customFormat="1">
      <c r="I1358" s="114"/>
      <c r="J1358" s="114"/>
    </row>
    <row r="1359" spans="9:10" s="8" customFormat="1">
      <c r="I1359" s="114"/>
      <c r="J1359" s="114"/>
    </row>
    <row r="1360" spans="9:10" s="8" customFormat="1">
      <c r="I1360" s="114"/>
      <c r="J1360" s="114"/>
    </row>
    <row r="1361" spans="9:10" s="8" customFormat="1">
      <c r="I1361" s="114"/>
      <c r="J1361" s="114"/>
    </row>
    <row r="1362" spans="9:10" s="8" customFormat="1">
      <c r="I1362" s="114"/>
      <c r="J1362" s="114"/>
    </row>
    <row r="1363" spans="9:10" s="8" customFormat="1">
      <c r="I1363" s="114"/>
      <c r="J1363" s="114"/>
    </row>
    <row r="1364" spans="9:10" s="8" customFormat="1">
      <c r="I1364" s="114"/>
      <c r="J1364" s="114"/>
    </row>
    <row r="1365" spans="9:10" s="8" customFormat="1">
      <c r="I1365" s="114"/>
      <c r="J1365" s="114"/>
    </row>
    <row r="1366" spans="9:10" s="8" customFormat="1">
      <c r="I1366" s="114"/>
      <c r="J1366" s="114"/>
    </row>
    <row r="1367" spans="9:10" s="8" customFormat="1">
      <c r="I1367" s="114"/>
      <c r="J1367" s="114"/>
    </row>
    <row r="1368" spans="9:10" s="8" customFormat="1">
      <c r="I1368" s="114"/>
      <c r="J1368" s="114"/>
    </row>
    <row r="1369" spans="9:10" s="8" customFormat="1">
      <c r="I1369" s="114"/>
      <c r="J1369" s="114"/>
    </row>
    <row r="1370" spans="9:10" s="8" customFormat="1">
      <c r="I1370" s="114"/>
      <c r="J1370" s="114"/>
    </row>
    <row r="1371" spans="9:10" s="8" customFormat="1">
      <c r="I1371" s="114"/>
      <c r="J1371" s="114"/>
    </row>
    <row r="1372" spans="9:10" s="8" customFormat="1">
      <c r="I1372" s="114"/>
      <c r="J1372" s="114"/>
    </row>
    <row r="1373" spans="9:10" s="8" customFormat="1">
      <c r="I1373" s="114"/>
      <c r="J1373" s="114"/>
    </row>
    <row r="1374" spans="9:10" s="8" customFormat="1">
      <c r="I1374" s="114"/>
      <c r="J1374" s="114"/>
    </row>
    <row r="1375" spans="9:10" s="8" customFormat="1">
      <c r="I1375" s="114"/>
      <c r="J1375" s="114"/>
    </row>
    <row r="1376" spans="9:10" s="8" customFormat="1">
      <c r="I1376" s="114"/>
      <c r="J1376" s="114"/>
    </row>
    <row r="1377" spans="9:10" s="8" customFormat="1">
      <c r="I1377" s="114"/>
      <c r="J1377" s="114"/>
    </row>
    <row r="1378" spans="9:10" s="8" customFormat="1">
      <c r="I1378" s="114"/>
      <c r="J1378" s="114"/>
    </row>
    <row r="1379" spans="9:10" s="8" customFormat="1">
      <c r="I1379" s="114"/>
      <c r="J1379" s="114"/>
    </row>
    <row r="1380" spans="9:10" s="8" customFormat="1">
      <c r="I1380" s="114"/>
      <c r="J1380" s="114"/>
    </row>
    <row r="1381" spans="9:10" s="8" customFormat="1">
      <c r="I1381" s="114"/>
      <c r="J1381" s="114"/>
    </row>
    <row r="1382" spans="9:10" s="8" customFormat="1">
      <c r="I1382" s="114"/>
      <c r="J1382" s="114"/>
    </row>
    <row r="1383" spans="9:10" s="8" customFormat="1">
      <c r="I1383" s="114"/>
      <c r="J1383" s="114"/>
    </row>
    <row r="1384" spans="9:10" s="8" customFormat="1">
      <c r="I1384" s="114"/>
      <c r="J1384" s="114"/>
    </row>
    <row r="1385" spans="9:10" s="8" customFormat="1">
      <c r="I1385" s="114"/>
      <c r="J1385" s="114"/>
    </row>
    <row r="1386" spans="9:10" s="8" customFormat="1">
      <c r="I1386" s="114"/>
      <c r="J1386" s="114"/>
    </row>
    <row r="1387" spans="9:10" s="8" customFormat="1">
      <c r="I1387" s="114"/>
      <c r="J1387" s="114"/>
    </row>
    <row r="1388" spans="9:10" s="8" customFormat="1">
      <c r="I1388" s="114"/>
      <c r="J1388" s="114"/>
    </row>
    <row r="1389" spans="9:10" s="8" customFormat="1">
      <c r="I1389" s="114"/>
      <c r="J1389" s="114"/>
    </row>
    <row r="1390" spans="9:10" s="8" customFormat="1">
      <c r="I1390" s="114"/>
      <c r="J1390" s="114"/>
    </row>
    <row r="1391" spans="9:10" s="8" customFormat="1">
      <c r="I1391" s="114"/>
      <c r="J1391" s="114"/>
    </row>
    <row r="1392" spans="9:10" s="8" customFormat="1">
      <c r="I1392" s="114"/>
      <c r="J1392" s="114"/>
    </row>
    <row r="1393" spans="9:10" s="8" customFormat="1">
      <c r="I1393" s="114"/>
      <c r="J1393" s="114"/>
    </row>
    <row r="1394" spans="9:10" s="8" customFormat="1">
      <c r="I1394" s="114"/>
      <c r="J1394" s="114"/>
    </row>
    <row r="1395" spans="9:10" s="8" customFormat="1">
      <c r="I1395" s="114"/>
      <c r="J1395" s="114"/>
    </row>
    <row r="1396" spans="9:10" s="8" customFormat="1">
      <c r="I1396" s="114"/>
      <c r="J1396" s="114"/>
    </row>
    <row r="1397" spans="9:10" s="8" customFormat="1">
      <c r="I1397" s="114"/>
      <c r="J1397" s="114"/>
    </row>
    <row r="1398" spans="9:10" s="8" customFormat="1">
      <c r="I1398" s="114"/>
      <c r="J1398" s="114"/>
    </row>
    <row r="1399" spans="9:10" s="8" customFormat="1">
      <c r="I1399" s="114"/>
      <c r="J1399" s="114"/>
    </row>
    <row r="1400" spans="9:10" s="8" customFormat="1">
      <c r="I1400" s="114"/>
      <c r="J1400" s="114"/>
    </row>
    <row r="1401" spans="9:10" s="8" customFormat="1">
      <c r="I1401" s="114"/>
      <c r="J1401" s="114"/>
    </row>
    <row r="1402" spans="9:10" s="8" customFormat="1">
      <c r="I1402" s="114"/>
      <c r="J1402" s="114"/>
    </row>
    <row r="1403" spans="9:10" s="8" customFormat="1">
      <c r="I1403" s="114"/>
      <c r="J1403" s="114"/>
    </row>
    <row r="1404" spans="9:10" s="8" customFormat="1">
      <c r="I1404" s="114"/>
      <c r="J1404" s="114"/>
    </row>
    <row r="1405" spans="9:10" s="8" customFormat="1">
      <c r="I1405" s="114"/>
      <c r="J1405" s="114"/>
    </row>
    <row r="1406" spans="9:10" s="8" customFormat="1">
      <c r="I1406" s="114"/>
      <c r="J1406" s="114"/>
    </row>
    <row r="1407" spans="9:10" s="8" customFormat="1">
      <c r="I1407" s="114"/>
      <c r="J1407" s="114"/>
    </row>
    <row r="1408" spans="9:10" s="8" customFormat="1">
      <c r="I1408" s="114"/>
      <c r="J1408" s="114"/>
    </row>
    <row r="1409" spans="9:10" s="8" customFormat="1">
      <c r="I1409" s="114"/>
      <c r="J1409" s="114"/>
    </row>
    <row r="1410" spans="9:10" s="8" customFormat="1">
      <c r="I1410" s="114"/>
      <c r="J1410" s="114"/>
    </row>
    <row r="1411" spans="9:10" s="8" customFormat="1">
      <c r="I1411" s="114"/>
      <c r="J1411" s="114"/>
    </row>
    <row r="1412" spans="9:10" s="8" customFormat="1">
      <c r="I1412" s="114"/>
      <c r="J1412" s="114"/>
    </row>
    <row r="1413" spans="9:10" s="8" customFormat="1">
      <c r="I1413" s="114"/>
      <c r="J1413" s="114"/>
    </row>
    <row r="1414" spans="9:10" s="8" customFormat="1">
      <c r="I1414" s="114"/>
      <c r="J1414" s="114"/>
    </row>
    <row r="1415" spans="9:10" s="8" customFormat="1">
      <c r="I1415" s="114"/>
      <c r="J1415" s="114"/>
    </row>
    <row r="1416" spans="9:10" s="8" customFormat="1">
      <c r="I1416" s="114"/>
      <c r="J1416" s="114"/>
    </row>
    <row r="1417" spans="9:10" s="8" customFormat="1">
      <c r="I1417" s="114"/>
      <c r="J1417" s="114"/>
    </row>
    <row r="1418" spans="9:10" s="8" customFormat="1">
      <c r="I1418" s="114"/>
      <c r="J1418" s="114"/>
    </row>
    <row r="1419" spans="9:10" s="8" customFormat="1">
      <c r="I1419" s="114"/>
      <c r="J1419" s="114"/>
    </row>
    <row r="1420" spans="9:10" s="8" customFormat="1">
      <c r="I1420" s="114"/>
      <c r="J1420" s="114"/>
    </row>
    <row r="1421" spans="9:10" s="8" customFormat="1">
      <c r="I1421" s="114"/>
      <c r="J1421" s="114"/>
    </row>
    <row r="1422" spans="9:10" s="8" customFormat="1">
      <c r="I1422" s="114"/>
      <c r="J1422" s="114"/>
    </row>
    <row r="1423" spans="9:10" s="8" customFormat="1">
      <c r="I1423" s="114"/>
      <c r="J1423" s="114"/>
    </row>
    <row r="1424" spans="9:10" s="8" customFormat="1">
      <c r="I1424" s="114"/>
      <c r="J1424" s="114"/>
    </row>
    <row r="1425" spans="9:10" s="8" customFormat="1">
      <c r="I1425" s="114"/>
      <c r="J1425" s="114"/>
    </row>
    <row r="1426" spans="9:10" s="8" customFormat="1">
      <c r="I1426" s="114"/>
      <c r="J1426" s="114"/>
    </row>
    <row r="1427" spans="9:10" s="8" customFormat="1">
      <c r="I1427" s="114"/>
      <c r="J1427" s="114"/>
    </row>
    <row r="1428" spans="9:10" s="8" customFormat="1">
      <c r="I1428" s="114"/>
      <c r="J1428" s="114"/>
    </row>
    <row r="1429" spans="9:10" s="8" customFormat="1">
      <c r="I1429" s="114"/>
      <c r="J1429" s="114"/>
    </row>
    <row r="1430" spans="9:10" s="8" customFormat="1">
      <c r="I1430" s="114"/>
      <c r="J1430" s="114"/>
    </row>
    <row r="1431" spans="9:10" s="8" customFormat="1">
      <c r="I1431" s="114"/>
      <c r="J1431" s="114"/>
    </row>
    <row r="1432" spans="9:10" s="8" customFormat="1">
      <c r="I1432" s="114"/>
      <c r="J1432" s="114"/>
    </row>
    <row r="1433" spans="9:10" s="8" customFormat="1">
      <c r="I1433" s="114"/>
      <c r="J1433" s="114"/>
    </row>
    <row r="1434" spans="9:10" s="8" customFormat="1">
      <c r="I1434" s="114"/>
      <c r="J1434" s="114"/>
    </row>
    <row r="1435" spans="9:10" s="8" customFormat="1">
      <c r="I1435" s="114"/>
      <c r="J1435" s="114"/>
    </row>
    <row r="1436" spans="9:10" s="8" customFormat="1">
      <c r="I1436" s="114"/>
      <c r="J1436" s="114"/>
    </row>
    <row r="1437" spans="9:10" s="8" customFormat="1">
      <c r="I1437" s="114"/>
      <c r="J1437" s="114"/>
    </row>
    <row r="1438" spans="9:10" s="8" customFormat="1">
      <c r="I1438" s="114"/>
      <c r="J1438" s="114"/>
    </row>
    <row r="1439" spans="9:10" s="8" customFormat="1">
      <c r="I1439" s="114"/>
      <c r="J1439" s="114"/>
    </row>
    <row r="1440" spans="9:10" s="8" customFormat="1">
      <c r="I1440" s="114"/>
      <c r="J1440" s="114"/>
    </row>
    <row r="1441" spans="9:10" s="8" customFormat="1">
      <c r="I1441" s="114"/>
      <c r="J1441" s="114"/>
    </row>
    <row r="1442" spans="9:10" s="8" customFormat="1">
      <c r="I1442" s="114"/>
      <c r="J1442" s="114"/>
    </row>
    <row r="1443" spans="9:10" s="8" customFormat="1">
      <c r="I1443" s="114"/>
      <c r="J1443" s="114"/>
    </row>
    <row r="1444" spans="9:10" s="8" customFormat="1">
      <c r="I1444" s="114"/>
      <c r="J1444" s="114"/>
    </row>
    <row r="1445" spans="9:10" s="8" customFormat="1">
      <c r="I1445" s="114"/>
      <c r="J1445" s="114"/>
    </row>
    <row r="1446" spans="9:10" s="8" customFormat="1">
      <c r="I1446" s="114"/>
      <c r="J1446" s="114"/>
    </row>
    <row r="1447" spans="9:10" s="8" customFormat="1">
      <c r="I1447" s="114"/>
      <c r="J1447" s="114"/>
    </row>
    <row r="1448" spans="9:10" s="8" customFormat="1">
      <c r="I1448" s="114"/>
      <c r="J1448" s="114"/>
    </row>
    <row r="1449" spans="9:10" s="8" customFormat="1">
      <c r="I1449" s="114"/>
      <c r="J1449" s="114"/>
    </row>
    <row r="1450" spans="9:10" s="8" customFormat="1">
      <c r="I1450" s="114"/>
      <c r="J1450" s="114"/>
    </row>
    <row r="1451" spans="9:10" s="8" customFormat="1">
      <c r="I1451" s="114"/>
      <c r="J1451" s="114"/>
    </row>
    <row r="1452" spans="9:10" s="8" customFormat="1">
      <c r="I1452" s="114"/>
      <c r="J1452" s="114"/>
    </row>
    <row r="1453" spans="9:10" s="8" customFormat="1">
      <c r="I1453" s="114"/>
      <c r="J1453" s="114"/>
    </row>
    <row r="1454" spans="9:10" s="8" customFormat="1">
      <c r="I1454" s="114"/>
      <c r="J1454" s="114"/>
    </row>
    <row r="1455" spans="9:10" s="8" customFormat="1">
      <c r="I1455" s="114"/>
      <c r="J1455" s="114"/>
    </row>
    <row r="1456" spans="9:10" s="8" customFormat="1">
      <c r="I1456" s="114"/>
      <c r="J1456" s="114"/>
    </row>
    <row r="1457" spans="9:10" s="8" customFormat="1">
      <c r="I1457" s="114"/>
      <c r="J1457" s="114"/>
    </row>
    <row r="1458" spans="9:10" s="8" customFormat="1">
      <c r="I1458" s="114"/>
      <c r="J1458" s="114"/>
    </row>
    <row r="1459" spans="9:10" s="8" customFormat="1">
      <c r="I1459" s="114"/>
      <c r="J1459" s="114"/>
    </row>
    <row r="1460" spans="9:10" s="8" customFormat="1">
      <c r="I1460" s="114"/>
      <c r="J1460" s="114"/>
    </row>
    <row r="1461" spans="9:10" s="8" customFormat="1">
      <c r="I1461" s="114"/>
      <c r="J1461" s="114"/>
    </row>
    <row r="1462" spans="9:10" s="8" customFormat="1">
      <c r="I1462" s="114"/>
      <c r="J1462" s="114"/>
    </row>
    <row r="1463" spans="9:10" s="8" customFormat="1">
      <c r="I1463" s="114"/>
      <c r="J1463" s="114"/>
    </row>
    <row r="1464" spans="9:10" s="8" customFormat="1">
      <c r="I1464" s="114"/>
      <c r="J1464" s="114"/>
    </row>
    <row r="1465" spans="9:10" s="8" customFormat="1">
      <c r="I1465" s="114"/>
      <c r="J1465" s="114"/>
    </row>
    <row r="1466" spans="9:10" s="8" customFormat="1">
      <c r="I1466" s="114"/>
      <c r="J1466" s="114"/>
    </row>
    <row r="1467" spans="9:10" s="8" customFormat="1">
      <c r="I1467" s="114"/>
      <c r="J1467" s="114"/>
    </row>
    <row r="1468" spans="9:10" s="8" customFormat="1">
      <c r="I1468" s="114"/>
      <c r="J1468" s="114"/>
    </row>
    <row r="1469" spans="9:10" s="8" customFormat="1">
      <c r="I1469" s="114"/>
      <c r="J1469" s="114"/>
    </row>
    <row r="1470" spans="9:10" s="8" customFormat="1">
      <c r="I1470" s="114"/>
      <c r="J1470" s="114"/>
    </row>
    <row r="1471" spans="9:10" s="8" customFormat="1">
      <c r="I1471" s="114"/>
      <c r="J1471" s="114"/>
    </row>
    <row r="1472" spans="9:10" s="8" customFormat="1">
      <c r="I1472" s="114"/>
      <c r="J1472" s="114"/>
    </row>
    <row r="1473" spans="9:10" s="8" customFormat="1">
      <c r="I1473" s="114"/>
      <c r="J1473" s="114"/>
    </row>
    <row r="1474" spans="9:10" s="8" customFormat="1">
      <c r="I1474" s="114"/>
      <c r="J1474" s="114"/>
    </row>
    <row r="1475" spans="9:10" s="8" customFormat="1">
      <c r="I1475" s="114"/>
      <c r="J1475" s="114"/>
    </row>
    <row r="1476" spans="9:10" s="8" customFormat="1">
      <c r="I1476" s="114"/>
      <c r="J1476" s="114"/>
    </row>
    <row r="1477" spans="9:10" s="8" customFormat="1">
      <c r="I1477" s="114"/>
      <c r="J1477" s="114"/>
    </row>
    <row r="1478" spans="9:10" s="8" customFormat="1">
      <c r="I1478" s="114"/>
      <c r="J1478" s="114"/>
    </row>
    <row r="1479" spans="9:10" s="8" customFormat="1">
      <c r="I1479" s="114"/>
      <c r="J1479" s="114"/>
    </row>
    <row r="1480" spans="9:10" s="8" customFormat="1">
      <c r="I1480" s="114"/>
      <c r="J1480" s="114"/>
    </row>
    <row r="1481" spans="9:10" s="8" customFormat="1">
      <c r="I1481" s="114"/>
      <c r="J1481" s="114"/>
    </row>
    <row r="1482" spans="9:10" s="8" customFormat="1">
      <c r="I1482" s="114"/>
      <c r="J1482" s="114"/>
    </row>
    <row r="1483" spans="9:10" s="8" customFormat="1">
      <c r="I1483" s="114"/>
      <c r="J1483" s="114"/>
    </row>
    <row r="1484" spans="9:10" s="8" customFormat="1">
      <c r="I1484" s="114"/>
      <c r="J1484" s="114"/>
    </row>
    <row r="1485" spans="9:10" s="8" customFormat="1">
      <c r="I1485" s="114"/>
      <c r="J1485" s="114"/>
    </row>
    <row r="1486" spans="9:10" s="8" customFormat="1">
      <c r="I1486" s="114"/>
      <c r="J1486" s="114"/>
    </row>
    <row r="1487" spans="9:10" s="8" customFormat="1">
      <c r="I1487" s="114"/>
      <c r="J1487" s="114"/>
    </row>
    <row r="1488" spans="9:10" s="8" customFormat="1">
      <c r="I1488" s="114"/>
      <c r="J1488" s="114"/>
    </row>
    <row r="1489" spans="9:10" s="8" customFormat="1">
      <c r="I1489" s="114"/>
      <c r="J1489" s="114"/>
    </row>
    <row r="1490" spans="9:10" s="8" customFormat="1">
      <c r="I1490" s="114"/>
      <c r="J1490" s="114"/>
    </row>
    <row r="1491" spans="9:10" s="8" customFormat="1">
      <c r="I1491" s="114"/>
      <c r="J1491" s="114"/>
    </row>
    <row r="1492" spans="9:10" s="8" customFormat="1">
      <c r="I1492" s="114"/>
      <c r="J1492" s="114"/>
    </row>
    <row r="1493" spans="9:10" s="8" customFormat="1">
      <c r="I1493" s="114"/>
      <c r="J1493" s="114"/>
    </row>
    <row r="1494" spans="9:10" s="8" customFormat="1">
      <c r="I1494" s="114"/>
      <c r="J1494" s="114"/>
    </row>
    <row r="1495" spans="9:10" s="8" customFormat="1">
      <c r="I1495" s="114"/>
      <c r="J1495" s="114"/>
    </row>
    <row r="1496" spans="9:10" s="8" customFormat="1">
      <c r="I1496" s="114"/>
      <c r="J1496" s="114"/>
    </row>
    <row r="1497" spans="9:10" s="8" customFormat="1">
      <c r="I1497" s="114"/>
      <c r="J1497" s="114"/>
    </row>
    <row r="1498" spans="9:10" s="8" customFormat="1">
      <c r="I1498" s="114"/>
      <c r="J1498" s="114"/>
    </row>
    <row r="1499" spans="9:10" s="8" customFormat="1">
      <c r="I1499" s="114"/>
      <c r="J1499" s="114"/>
    </row>
    <row r="1500" spans="9:10" s="8" customFormat="1">
      <c r="I1500" s="114"/>
      <c r="J1500" s="114"/>
    </row>
    <row r="1501" spans="9:10" s="8" customFormat="1">
      <c r="I1501" s="114"/>
      <c r="J1501" s="114"/>
    </row>
    <row r="1502" spans="9:10" s="8" customFormat="1">
      <c r="I1502" s="114"/>
      <c r="J1502" s="114"/>
    </row>
    <row r="1503" spans="9:10" s="8" customFormat="1">
      <c r="I1503" s="114"/>
      <c r="J1503" s="114"/>
    </row>
    <row r="1504" spans="9:10" s="8" customFormat="1">
      <c r="I1504" s="114"/>
      <c r="J1504" s="114"/>
    </row>
    <row r="1505" spans="9:10" s="8" customFormat="1">
      <c r="I1505" s="114"/>
      <c r="J1505" s="114"/>
    </row>
    <row r="1506" spans="9:10" s="8" customFormat="1">
      <c r="I1506" s="114"/>
      <c r="J1506" s="114"/>
    </row>
    <row r="1507" spans="9:10" s="8" customFormat="1">
      <c r="I1507" s="114"/>
      <c r="J1507" s="114"/>
    </row>
    <row r="1508" spans="9:10" s="8" customFormat="1">
      <c r="I1508" s="114"/>
      <c r="J1508" s="114"/>
    </row>
    <row r="1509" spans="9:10" s="8" customFormat="1">
      <c r="I1509" s="114"/>
      <c r="J1509" s="114"/>
    </row>
    <row r="1510" spans="9:10" s="8" customFormat="1">
      <c r="I1510" s="114"/>
      <c r="J1510" s="114"/>
    </row>
    <row r="1511" spans="9:10" s="8" customFormat="1">
      <c r="I1511" s="114"/>
      <c r="J1511" s="114"/>
    </row>
    <row r="1512" spans="9:10" s="8" customFormat="1">
      <c r="I1512" s="114"/>
      <c r="J1512" s="114"/>
    </row>
    <row r="1513" spans="9:10" s="8" customFormat="1">
      <c r="I1513" s="114"/>
      <c r="J1513" s="114"/>
    </row>
    <row r="1514" spans="9:10" s="8" customFormat="1">
      <c r="I1514" s="114"/>
      <c r="J1514" s="114"/>
    </row>
    <row r="1515" spans="9:10" s="8" customFormat="1">
      <c r="I1515" s="114"/>
      <c r="J1515" s="114"/>
    </row>
    <row r="1516" spans="9:10" s="8" customFormat="1">
      <c r="I1516" s="114"/>
      <c r="J1516" s="114"/>
    </row>
    <row r="1517" spans="9:10" s="8" customFormat="1">
      <c r="I1517" s="114"/>
      <c r="J1517" s="114"/>
    </row>
    <row r="1518" spans="9:10" s="8" customFormat="1">
      <c r="I1518" s="114"/>
      <c r="J1518" s="114"/>
    </row>
    <row r="1519" spans="9:10" s="8" customFormat="1">
      <c r="I1519" s="114"/>
      <c r="J1519" s="114"/>
    </row>
    <row r="1520" spans="9:10" s="8" customFormat="1">
      <c r="I1520" s="114"/>
      <c r="J1520" s="114"/>
    </row>
    <row r="1521" spans="9:10" s="8" customFormat="1">
      <c r="I1521" s="114"/>
      <c r="J1521" s="114"/>
    </row>
    <row r="1522" spans="9:10" s="8" customFormat="1">
      <c r="I1522" s="114"/>
      <c r="J1522" s="114"/>
    </row>
    <row r="1523" spans="9:10" s="8" customFormat="1">
      <c r="I1523" s="114"/>
      <c r="J1523" s="114"/>
    </row>
    <row r="1524" spans="9:10" s="8" customFormat="1">
      <c r="I1524" s="114"/>
      <c r="J1524" s="114"/>
    </row>
    <row r="1525" spans="9:10" s="8" customFormat="1">
      <c r="I1525" s="114"/>
      <c r="J1525" s="114"/>
    </row>
    <row r="1526" spans="9:10" s="8" customFormat="1">
      <c r="I1526" s="114"/>
      <c r="J1526" s="114"/>
    </row>
    <row r="1527" spans="9:10" s="8" customFormat="1">
      <c r="I1527" s="114"/>
      <c r="J1527" s="114"/>
    </row>
    <row r="1528" spans="9:10" s="8" customFormat="1">
      <c r="I1528" s="114"/>
      <c r="J1528" s="114"/>
    </row>
    <row r="1529" spans="9:10" s="8" customFormat="1">
      <c r="I1529" s="114"/>
      <c r="J1529" s="114"/>
    </row>
    <row r="1530" spans="9:10" s="8" customFormat="1">
      <c r="I1530" s="114"/>
      <c r="J1530" s="114"/>
    </row>
    <row r="1531" spans="9:10" s="8" customFormat="1">
      <c r="I1531" s="114"/>
      <c r="J1531" s="114"/>
    </row>
    <row r="1532" spans="9:10" s="8" customFormat="1">
      <c r="I1532" s="114"/>
      <c r="J1532" s="114"/>
    </row>
    <row r="1533" spans="9:10" s="8" customFormat="1">
      <c r="I1533" s="114"/>
      <c r="J1533" s="114"/>
    </row>
    <row r="1534" spans="9:10" s="8" customFormat="1">
      <c r="I1534" s="114"/>
      <c r="J1534" s="114"/>
    </row>
    <row r="1535" spans="9:10" s="8" customFormat="1">
      <c r="I1535" s="114"/>
      <c r="J1535" s="114"/>
    </row>
    <row r="1536" spans="9:10" s="8" customFormat="1">
      <c r="I1536" s="114"/>
      <c r="J1536" s="114"/>
    </row>
    <row r="1537" spans="9:10" s="8" customFormat="1">
      <c r="I1537" s="114"/>
      <c r="J1537" s="114"/>
    </row>
    <row r="1538" spans="9:10" s="8" customFormat="1">
      <c r="I1538" s="114"/>
      <c r="J1538" s="114"/>
    </row>
    <row r="1539" spans="9:10" s="8" customFormat="1">
      <c r="I1539" s="114"/>
      <c r="J1539" s="114"/>
    </row>
    <row r="1540" spans="9:10" s="8" customFormat="1">
      <c r="I1540" s="114"/>
      <c r="J1540" s="114"/>
    </row>
    <row r="1541" spans="9:10" s="8" customFormat="1">
      <c r="I1541" s="114"/>
      <c r="J1541" s="114"/>
    </row>
    <row r="1542" spans="9:10" s="8" customFormat="1">
      <c r="I1542" s="114"/>
      <c r="J1542" s="114"/>
    </row>
    <row r="1543" spans="9:10" s="8" customFormat="1">
      <c r="I1543" s="114"/>
      <c r="J1543" s="114"/>
    </row>
    <row r="1544" spans="9:10" s="8" customFormat="1">
      <c r="I1544" s="114"/>
      <c r="J1544" s="114"/>
    </row>
    <row r="1545" spans="9:10" s="8" customFormat="1">
      <c r="I1545" s="114"/>
      <c r="J1545" s="114"/>
    </row>
    <row r="1546" spans="9:10" s="8" customFormat="1">
      <c r="I1546" s="114"/>
      <c r="J1546" s="114"/>
    </row>
    <row r="1547" spans="9:10" s="8" customFormat="1">
      <c r="I1547" s="114"/>
      <c r="J1547" s="114"/>
    </row>
    <row r="1548" spans="9:10" s="8" customFormat="1">
      <c r="I1548" s="114"/>
      <c r="J1548" s="114"/>
    </row>
    <row r="1549" spans="9:10" s="8" customFormat="1">
      <c r="I1549" s="114"/>
      <c r="J1549" s="114"/>
    </row>
    <row r="1550" spans="9:10" s="8" customFormat="1">
      <c r="I1550" s="114"/>
      <c r="J1550" s="114"/>
    </row>
    <row r="1551" spans="9:10" s="8" customFormat="1">
      <c r="I1551" s="114"/>
      <c r="J1551" s="114"/>
    </row>
    <row r="1552" spans="9:10" s="8" customFormat="1">
      <c r="I1552" s="114"/>
      <c r="J1552" s="114"/>
    </row>
    <row r="1553" spans="9:10" s="8" customFormat="1">
      <c r="I1553" s="114"/>
      <c r="J1553" s="114"/>
    </row>
    <row r="1554" spans="9:10" s="8" customFormat="1">
      <c r="I1554" s="114"/>
      <c r="J1554" s="114"/>
    </row>
    <row r="1555" spans="9:10" s="8" customFormat="1">
      <c r="I1555" s="114"/>
      <c r="J1555" s="114"/>
    </row>
    <row r="1556" spans="9:10" s="8" customFormat="1">
      <c r="I1556" s="114"/>
      <c r="J1556" s="114"/>
    </row>
    <row r="1557" spans="9:10" s="8" customFormat="1">
      <c r="I1557" s="114"/>
      <c r="J1557" s="114"/>
    </row>
    <row r="1558" spans="9:10" s="8" customFormat="1">
      <c r="I1558" s="114"/>
      <c r="J1558" s="114"/>
    </row>
    <row r="1559" spans="9:10" s="8" customFormat="1">
      <c r="I1559" s="114"/>
      <c r="J1559" s="114"/>
    </row>
    <row r="1560" spans="9:10" s="8" customFormat="1">
      <c r="I1560" s="114"/>
      <c r="J1560" s="114"/>
    </row>
    <row r="1561" spans="9:10" s="8" customFormat="1">
      <c r="I1561" s="114"/>
      <c r="J1561" s="114"/>
    </row>
    <row r="1562" spans="9:10" s="8" customFormat="1">
      <c r="I1562" s="114"/>
      <c r="J1562" s="114"/>
    </row>
    <row r="1563" spans="9:10" s="8" customFormat="1">
      <c r="I1563" s="114"/>
      <c r="J1563" s="114"/>
    </row>
    <row r="1564" spans="9:10" s="8" customFormat="1">
      <c r="I1564" s="114"/>
      <c r="J1564" s="114"/>
    </row>
    <row r="1565" spans="9:10" s="8" customFormat="1">
      <c r="I1565" s="114"/>
      <c r="J1565" s="114"/>
    </row>
    <row r="1566" spans="9:10" s="8" customFormat="1">
      <c r="I1566" s="114"/>
      <c r="J1566" s="114"/>
    </row>
    <row r="1567" spans="9:10" s="8" customFormat="1">
      <c r="I1567" s="114"/>
      <c r="J1567" s="114"/>
    </row>
    <row r="1568" spans="9:10" s="8" customFormat="1">
      <c r="I1568" s="114"/>
      <c r="J1568" s="114"/>
    </row>
    <row r="1569" spans="9:10" s="8" customFormat="1">
      <c r="I1569" s="114"/>
      <c r="J1569" s="114"/>
    </row>
    <row r="1570" spans="9:10" s="8" customFormat="1">
      <c r="I1570" s="114"/>
      <c r="J1570" s="114"/>
    </row>
    <row r="1571" spans="9:10" s="8" customFormat="1">
      <c r="I1571" s="114"/>
      <c r="J1571" s="114"/>
    </row>
    <row r="1572" spans="9:10" s="8" customFormat="1">
      <c r="I1572" s="114"/>
      <c r="J1572" s="114"/>
    </row>
    <row r="1573" spans="9:10" s="8" customFormat="1">
      <c r="I1573" s="114"/>
      <c r="J1573" s="114"/>
    </row>
    <row r="1574" spans="9:10" s="8" customFormat="1">
      <c r="I1574" s="114"/>
      <c r="J1574" s="114"/>
    </row>
    <row r="1575" spans="9:10" s="8" customFormat="1">
      <c r="I1575" s="114"/>
      <c r="J1575" s="114"/>
    </row>
    <row r="1576" spans="9:10" s="8" customFormat="1">
      <c r="I1576" s="114"/>
      <c r="J1576" s="114"/>
    </row>
    <row r="1577" spans="9:10" s="8" customFormat="1">
      <c r="I1577" s="114"/>
      <c r="J1577" s="114"/>
    </row>
    <row r="1578" spans="9:10" s="8" customFormat="1">
      <c r="I1578" s="114"/>
      <c r="J1578" s="114"/>
    </row>
    <row r="1579" spans="9:10" s="8" customFormat="1">
      <c r="I1579" s="114"/>
      <c r="J1579" s="114"/>
    </row>
    <row r="1580" spans="9:10" s="8" customFormat="1">
      <c r="I1580" s="114"/>
      <c r="J1580" s="114"/>
    </row>
    <row r="1581" spans="9:10" s="8" customFormat="1">
      <c r="I1581" s="114"/>
      <c r="J1581" s="114"/>
    </row>
    <row r="1582" spans="9:10" s="8" customFormat="1">
      <c r="I1582" s="114"/>
      <c r="J1582" s="114"/>
    </row>
    <row r="1583" spans="9:10" s="8" customFormat="1">
      <c r="I1583" s="114"/>
      <c r="J1583" s="114"/>
    </row>
    <row r="1584" spans="9:10" s="8" customFormat="1">
      <c r="I1584" s="114"/>
      <c r="J1584" s="114"/>
    </row>
    <row r="1585" spans="9:10" s="8" customFormat="1">
      <c r="I1585" s="114"/>
      <c r="J1585" s="114"/>
    </row>
    <row r="1586" spans="9:10" s="8" customFormat="1">
      <c r="I1586" s="114"/>
      <c r="J1586" s="114"/>
    </row>
    <row r="1587" spans="9:10" s="8" customFormat="1">
      <c r="I1587" s="114"/>
      <c r="J1587" s="114"/>
    </row>
    <row r="1588" spans="9:10" s="8" customFormat="1">
      <c r="I1588" s="114"/>
      <c r="J1588" s="114"/>
    </row>
    <row r="1589" spans="9:10" s="8" customFormat="1">
      <c r="I1589" s="114"/>
      <c r="J1589" s="114"/>
    </row>
    <row r="1590" spans="9:10" s="8" customFormat="1">
      <c r="I1590" s="114"/>
      <c r="J1590" s="114"/>
    </row>
    <row r="1591" spans="9:10" s="8" customFormat="1">
      <c r="I1591" s="114"/>
      <c r="J1591" s="114"/>
    </row>
    <row r="1592" spans="9:10" s="8" customFormat="1">
      <c r="I1592" s="114"/>
      <c r="J1592" s="114"/>
    </row>
    <row r="1593" spans="9:10" s="8" customFormat="1">
      <c r="I1593" s="114"/>
      <c r="J1593" s="114"/>
    </row>
    <row r="1594" spans="9:10" s="8" customFormat="1">
      <c r="I1594" s="114"/>
      <c r="J1594" s="114"/>
    </row>
    <row r="1595" spans="9:10" s="8" customFormat="1">
      <c r="I1595" s="114"/>
      <c r="J1595" s="114"/>
    </row>
    <row r="1596" spans="9:10" s="8" customFormat="1">
      <c r="I1596" s="114"/>
      <c r="J1596" s="114"/>
    </row>
    <row r="1597" spans="9:10" s="8" customFormat="1">
      <c r="I1597" s="114"/>
      <c r="J1597" s="114"/>
    </row>
    <row r="1598" spans="9:10" s="8" customFormat="1">
      <c r="I1598" s="114"/>
      <c r="J1598" s="114"/>
    </row>
    <row r="1599" spans="9:10" s="8" customFormat="1">
      <c r="I1599" s="114"/>
      <c r="J1599" s="114"/>
    </row>
    <row r="1600" spans="9:10" s="8" customFormat="1">
      <c r="I1600" s="114"/>
      <c r="J1600" s="114"/>
    </row>
    <row r="1601" spans="9:10" s="8" customFormat="1">
      <c r="I1601" s="114"/>
      <c r="J1601" s="114"/>
    </row>
    <row r="1602" spans="9:10" s="8" customFormat="1">
      <c r="I1602" s="114"/>
      <c r="J1602" s="114"/>
    </row>
    <row r="1603" spans="9:10" s="8" customFormat="1">
      <c r="I1603" s="114"/>
      <c r="J1603" s="114"/>
    </row>
    <row r="1604" spans="9:10" s="8" customFormat="1">
      <c r="I1604" s="114"/>
      <c r="J1604" s="114"/>
    </row>
    <row r="1605" spans="9:10" s="8" customFormat="1">
      <c r="I1605" s="114"/>
      <c r="J1605" s="114"/>
    </row>
    <row r="1606" spans="9:10" s="8" customFormat="1">
      <c r="I1606" s="114"/>
      <c r="J1606" s="114"/>
    </row>
    <row r="1607" spans="9:10" s="8" customFormat="1">
      <c r="I1607" s="114"/>
      <c r="J1607" s="114"/>
    </row>
    <row r="1608" spans="9:10" s="8" customFormat="1">
      <c r="I1608" s="114"/>
      <c r="J1608" s="114"/>
    </row>
    <row r="1609" spans="9:10" s="8" customFormat="1">
      <c r="I1609" s="114"/>
      <c r="J1609" s="114"/>
    </row>
    <row r="1610" spans="9:10" s="8" customFormat="1">
      <c r="I1610" s="114"/>
      <c r="J1610" s="114"/>
    </row>
    <row r="1611" spans="9:10" s="8" customFormat="1">
      <c r="I1611" s="114"/>
      <c r="J1611" s="114"/>
    </row>
    <row r="1612" spans="9:10" s="8" customFormat="1">
      <c r="I1612" s="114"/>
      <c r="J1612" s="114"/>
    </row>
    <row r="1613" spans="9:10" s="8" customFormat="1">
      <c r="I1613" s="114"/>
      <c r="J1613" s="114"/>
    </row>
    <row r="1614" spans="9:10" s="8" customFormat="1">
      <c r="I1614" s="114"/>
      <c r="J1614" s="114"/>
    </row>
    <row r="1615" spans="9:10" s="8" customFormat="1">
      <c r="I1615" s="114"/>
      <c r="J1615" s="114"/>
    </row>
    <row r="1616" spans="9:10" s="8" customFormat="1">
      <c r="I1616" s="114"/>
      <c r="J1616" s="114"/>
    </row>
    <row r="1617" spans="9:10" s="8" customFormat="1">
      <c r="I1617" s="114"/>
      <c r="J1617" s="114"/>
    </row>
    <row r="1618" spans="9:10" s="8" customFormat="1">
      <c r="I1618" s="114"/>
      <c r="J1618" s="114"/>
    </row>
    <row r="1619" spans="9:10" s="8" customFormat="1">
      <c r="I1619" s="114"/>
      <c r="J1619" s="114"/>
    </row>
    <row r="1620" spans="9:10" s="8" customFormat="1">
      <c r="I1620" s="114"/>
      <c r="J1620" s="114"/>
    </row>
    <row r="1621" spans="9:10" s="8" customFormat="1">
      <c r="I1621" s="114"/>
      <c r="J1621" s="114"/>
    </row>
    <row r="1622" spans="9:10" s="8" customFormat="1">
      <c r="I1622" s="114"/>
      <c r="J1622" s="114"/>
    </row>
    <row r="1623" spans="9:10" s="8" customFormat="1">
      <c r="I1623" s="114"/>
      <c r="J1623" s="114"/>
    </row>
    <row r="1624" spans="9:10" s="8" customFormat="1">
      <c r="I1624" s="114"/>
      <c r="J1624" s="114"/>
    </row>
    <row r="1625" spans="9:10" s="8" customFormat="1">
      <c r="I1625" s="114"/>
      <c r="J1625" s="114"/>
    </row>
    <row r="1626" spans="9:10" s="8" customFormat="1">
      <c r="I1626" s="114"/>
      <c r="J1626" s="114"/>
    </row>
    <row r="1627" spans="9:10" s="8" customFormat="1">
      <c r="I1627" s="114"/>
      <c r="J1627" s="114"/>
    </row>
    <row r="1628" spans="9:10" s="8" customFormat="1">
      <c r="I1628" s="114"/>
      <c r="J1628" s="114"/>
    </row>
    <row r="1629" spans="9:10" s="8" customFormat="1">
      <c r="I1629" s="114"/>
      <c r="J1629" s="114"/>
    </row>
    <row r="1630" spans="9:10" s="8" customFormat="1">
      <c r="I1630" s="114"/>
      <c r="J1630" s="114"/>
    </row>
    <row r="1631" spans="9:10" s="8" customFormat="1">
      <c r="I1631" s="114"/>
      <c r="J1631" s="114"/>
    </row>
    <row r="1632" spans="9:10" s="8" customFormat="1">
      <c r="I1632" s="114"/>
      <c r="J1632" s="114"/>
    </row>
    <row r="1633" spans="9:10" s="8" customFormat="1">
      <c r="I1633" s="114"/>
      <c r="J1633" s="114"/>
    </row>
    <row r="1634" spans="9:10" s="8" customFormat="1">
      <c r="I1634" s="114"/>
      <c r="J1634" s="114"/>
    </row>
    <row r="1635" spans="9:10" s="8" customFormat="1">
      <c r="I1635" s="114"/>
      <c r="J1635" s="114"/>
    </row>
    <row r="1636" spans="9:10" s="8" customFormat="1">
      <c r="I1636" s="114"/>
      <c r="J1636" s="114"/>
    </row>
    <row r="1637" spans="9:10" s="8" customFormat="1">
      <c r="I1637" s="114"/>
      <c r="J1637" s="114"/>
    </row>
    <row r="1638" spans="9:10" s="8" customFormat="1">
      <c r="I1638" s="114"/>
      <c r="J1638" s="114"/>
    </row>
    <row r="1639" spans="9:10" s="8" customFormat="1">
      <c r="I1639" s="114"/>
      <c r="J1639" s="114"/>
    </row>
    <row r="1640" spans="9:10" s="8" customFormat="1">
      <c r="I1640" s="114"/>
      <c r="J1640" s="114"/>
    </row>
    <row r="1641" spans="9:10" s="8" customFormat="1">
      <c r="I1641" s="114"/>
      <c r="J1641" s="114"/>
    </row>
    <row r="1642" spans="9:10" s="8" customFormat="1">
      <c r="I1642" s="114"/>
      <c r="J1642" s="114"/>
    </row>
    <row r="1643" spans="9:10" s="8" customFormat="1">
      <c r="I1643" s="114"/>
      <c r="J1643" s="114"/>
    </row>
    <row r="1644" spans="9:10" s="8" customFormat="1">
      <c r="I1644" s="114"/>
      <c r="J1644" s="114"/>
    </row>
    <row r="1645" spans="9:10" s="8" customFormat="1">
      <c r="I1645" s="114"/>
      <c r="J1645" s="114"/>
    </row>
    <row r="1646" spans="9:10" s="8" customFormat="1">
      <c r="I1646" s="114"/>
      <c r="J1646" s="114"/>
    </row>
    <row r="1647" spans="9:10" s="8" customFormat="1">
      <c r="I1647" s="114"/>
      <c r="J1647" s="114"/>
    </row>
    <row r="1648" spans="9:10" s="8" customFormat="1">
      <c r="I1648" s="114"/>
      <c r="J1648" s="114"/>
    </row>
    <row r="1649" spans="9:10" s="8" customFormat="1">
      <c r="I1649" s="114"/>
      <c r="J1649" s="114"/>
    </row>
    <row r="1650" spans="9:10" s="8" customFormat="1">
      <c r="I1650" s="114"/>
      <c r="J1650" s="114"/>
    </row>
    <row r="1651" spans="9:10" s="8" customFormat="1">
      <c r="I1651" s="114"/>
      <c r="J1651" s="114"/>
    </row>
    <row r="1652" spans="9:10" s="8" customFormat="1">
      <c r="I1652" s="114"/>
      <c r="J1652" s="114"/>
    </row>
    <row r="1653" spans="9:10" s="8" customFormat="1">
      <c r="I1653" s="114"/>
      <c r="J1653" s="114"/>
    </row>
    <row r="1654" spans="9:10" s="8" customFormat="1">
      <c r="I1654" s="114"/>
      <c r="J1654" s="114"/>
    </row>
    <row r="1655" spans="9:10" s="8" customFormat="1">
      <c r="I1655" s="114"/>
      <c r="J1655" s="114"/>
    </row>
    <row r="1656" spans="9:10" s="8" customFormat="1">
      <c r="I1656" s="114"/>
      <c r="J1656" s="114"/>
    </row>
    <row r="1657" spans="9:10" s="8" customFormat="1">
      <c r="I1657" s="114"/>
      <c r="J1657" s="114"/>
    </row>
    <row r="1658" spans="9:10" s="8" customFormat="1">
      <c r="I1658" s="114"/>
      <c r="J1658" s="114"/>
    </row>
    <row r="1659" spans="9:10" s="8" customFormat="1">
      <c r="I1659" s="114"/>
      <c r="J1659" s="114"/>
    </row>
    <row r="1660" spans="9:10" s="8" customFormat="1">
      <c r="I1660" s="114"/>
      <c r="J1660" s="114"/>
    </row>
    <row r="1661" spans="9:10" s="8" customFormat="1">
      <c r="I1661" s="114"/>
      <c r="J1661" s="114"/>
    </row>
    <row r="1662" spans="9:10" s="8" customFormat="1">
      <c r="I1662" s="114"/>
      <c r="J1662" s="114"/>
    </row>
    <row r="1663" spans="9:10" s="8" customFormat="1">
      <c r="I1663" s="114"/>
      <c r="J1663" s="114"/>
    </row>
    <row r="1664" spans="9:10" s="8" customFormat="1">
      <c r="I1664" s="114"/>
      <c r="J1664" s="114"/>
    </row>
    <row r="1665" spans="9:10" s="8" customFormat="1">
      <c r="I1665" s="114"/>
      <c r="J1665" s="114"/>
    </row>
    <row r="1666" spans="9:10" s="8" customFormat="1">
      <c r="I1666" s="114"/>
      <c r="J1666" s="114"/>
    </row>
    <row r="1667" spans="9:10" s="8" customFormat="1">
      <c r="I1667" s="114"/>
      <c r="J1667" s="114"/>
    </row>
    <row r="1668" spans="9:10" s="8" customFormat="1">
      <c r="I1668" s="114"/>
      <c r="J1668" s="114"/>
    </row>
    <row r="1669" spans="9:10" s="8" customFormat="1">
      <c r="I1669" s="114"/>
      <c r="J1669" s="114"/>
    </row>
    <row r="1670" spans="9:10" s="8" customFormat="1">
      <c r="I1670" s="114"/>
      <c r="J1670" s="114"/>
    </row>
    <row r="1671" spans="9:10" s="8" customFormat="1">
      <c r="I1671" s="114"/>
      <c r="J1671" s="114"/>
    </row>
    <row r="1672" spans="9:10" s="8" customFormat="1">
      <c r="I1672" s="114"/>
      <c r="J1672" s="114"/>
    </row>
    <row r="1673" spans="9:10" s="8" customFormat="1">
      <c r="I1673" s="114"/>
      <c r="J1673" s="114"/>
    </row>
    <row r="1674" spans="9:10" s="8" customFormat="1">
      <c r="I1674" s="114"/>
      <c r="J1674" s="114"/>
    </row>
    <row r="1675" spans="9:10" s="8" customFormat="1">
      <c r="I1675" s="114"/>
      <c r="J1675" s="114"/>
    </row>
    <row r="1676" spans="9:10" s="8" customFormat="1">
      <c r="I1676" s="114"/>
      <c r="J1676" s="114"/>
    </row>
    <row r="1677" spans="9:10" s="8" customFormat="1">
      <c r="I1677" s="114"/>
      <c r="J1677" s="114"/>
    </row>
    <row r="1678" spans="9:10" s="8" customFormat="1">
      <c r="I1678" s="114"/>
      <c r="J1678" s="114"/>
    </row>
    <row r="1679" spans="9:10" s="8" customFormat="1">
      <c r="I1679" s="114"/>
      <c r="J1679" s="114"/>
    </row>
    <row r="1680" spans="9:10" s="8" customFormat="1">
      <c r="I1680" s="114"/>
      <c r="J1680" s="114"/>
    </row>
    <row r="1681" spans="9:10" s="8" customFormat="1">
      <c r="I1681" s="114"/>
      <c r="J1681" s="114"/>
    </row>
    <row r="1682" spans="9:10" s="8" customFormat="1">
      <c r="I1682" s="114"/>
      <c r="J1682" s="114"/>
    </row>
    <row r="1683" spans="9:10" s="8" customFormat="1">
      <c r="I1683" s="114"/>
      <c r="J1683" s="114"/>
    </row>
    <row r="1684" spans="9:10" s="8" customFormat="1">
      <c r="I1684" s="114"/>
      <c r="J1684" s="114"/>
    </row>
    <row r="1685" spans="9:10" s="8" customFormat="1">
      <c r="I1685" s="114"/>
      <c r="J1685" s="114"/>
    </row>
    <row r="1686" spans="9:10" s="8" customFormat="1">
      <c r="I1686" s="114"/>
      <c r="J1686" s="114"/>
    </row>
    <row r="1687" spans="9:10" s="8" customFormat="1">
      <c r="I1687" s="114"/>
      <c r="J1687" s="114"/>
    </row>
    <row r="1688" spans="9:10" s="8" customFormat="1">
      <c r="I1688" s="114"/>
      <c r="J1688" s="114"/>
    </row>
    <row r="1689" spans="9:10" s="8" customFormat="1">
      <c r="I1689" s="114"/>
      <c r="J1689" s="114"/>
    </row>
    <row r="1690" spans="9:10" s="8" customFormat="1">
      <c r="I1690" s="114"/>
      <c r="J1690" s="114"/>
    </row>
    <row r="1691" spans="9:10" s="8" customFormat="1">
      <c r="I1691" s="114"/>
      <c r="J1691" s="114"/>
    </row>
    <row r="1692" spans="9:10" s="8" customFormat="1">
      <c r="I1692" s="114"/>
      <c r="J1692" s="114"/>
    </row>
    <row r="1693" spans="9:10" s="8" customFormat="1">
      <c r="I1693" s="114"/>
      <c r="J1693" s="114"/>
    </row>
    <row r="1694" spans="9:10" s="8" customFormat="1">
      <c r="I1694" s="114"/>
      <c r="J1694" s="114"/>
    </row>
    <row r="1695" spans="9:10" s="8" customFormat="1">
      <c r="I1695" s="114"/>
      <c r="J1695" s="114"/>
    </row>
    <row r="1696" spans="9:10" s="8" customFormat="1">
      <c r="I1696" s="114"/>
      <c r="J1696" s="114"/>
    </row>
    <row r="1697" spans="9:10" s="8" customFormat="1">
      <c r="I1697" s="114"/>
      <c r="J1697" s="114"/>
    </row>
    <row r="1698" spans="9:10" s="8" customFormat="1">
      <c r="I1698" s="114"/>
      <c r="J1698" s="114"/>
    </row>
    <row r="1699" spans="9:10" s="8" customFormat="1">
      <c r="I1699" s="114"/>
      <c r="J1699" s="114"/>
    </row>
    <row r="1700" spans="9:10" s="8" customFormat="1">
      <c r="I1700" s="114"/>
      <c r="J1700" s="114"/>
    </row>
    <row r="1701" spans="9:10" s="8" customFormat="1">
      <c r="I1701" s="114"/>
      <c r="J1701" s="114"/>
    </row>
    <row r="1702" spans="9:10" s="8" customFormat="1">
      <c r="I1702" s="114"/>
      <c r="J1702" s="114"/>
    </row>
    <row r="1703" spans="9:10" s="8" customFormat="1">
      <c r="I1703" s="114"/>
      <c r="J1703" s="114"/>
    </row>
    <row r="1704" spans="9:10" s="8" customFormat="1">
      <c r="I1704" s="114"/>
      <c r="J1704" s="114"/>
    </row>
    <row r="1705" spans="9:10" s="8" customFormat="1">
      <c r="I1705" s="114"/>
      <c r="J1705" s="114"/>
    </row>
    <row r="1706" spans="9:10" s="8" customFormat="1">
      <c r="I1706" s="114"/>
      <c r="J1706" s="114"/>
    </row>
    <row r="1707" spans="9:10" s="8" customFormat="1">
      <c r="I1707" s="114"/>
      <c r="J1707" s="114"/>
    </row>
    <row r="1708" spans="9:10" s="8" customFormat="1">
      <c r="I1708" s="114"/>
      <c r="J1708" s="114"/>
    </row>
    <row r="1709" spans="9:10" s="8" customFormat="1">
      <c r="I1709" s="114"/>
      <c r="J1709" s="114"/>
    </row>
    <row r="1710" spans="9:10" s="8" customFormat="1">
      <c r="I1710" s="114"/>
      <c r="J1710" s="114"/>
    </row>
    <row r="1711" spans="9:10" s="8" customFormat="1">
      <c r="I1711" s="114"/>
      <c r="J1711" s="114"/>
    </row>
    <row r="1712" spans="9:10" s="8" customFormat="1">
      <c r="I1712" s="114"/>
      <c r="J1712" s="114"/>
    </row>
    <row r="1713" spans="9:10" s="8" customFormat="1">
      <c r="I1713" s="114"/>
      <c r="J1713" s="114"/>
    </row>
    <row r="1714" spans="9:10" s="8" customFormat="1">
      <c r="I1714" s="114"/>
      <c r="J1714" s="114"/>
    </row>
    <row r="1715" spans="9:10" s="8" customFormat="1">
      <c r="I1715" s="114"/>
      <c r="J1715" s="114"/>
    </row>
    <row r="1716" spans="9:10" s="8" customFormat="1">
      <c r="I1716" s="114"/>
      <c r="J1716" s="114"/>
    </row>
    <row r="1717" spans="9:10" s="8" customFormat="1">
      <c r="I1717" s="114"/>
      <c r="J1717" s="114"/>
    </row>
    <row r="1718" spans="9:10" s="8" customFormat="1">
      <c r="I1718" s="114"/>
      <c r="J1718" s="114"/>
    </row>
    <row r="1719" spans="9:10" s="8" customFormat="1">
      <c r="I1719" s="114"/>
      <c r="J1719" s="114"/>
    </row>
    <row r="1720" spans="9:10" s="8" customFormat="1">
      <c r="I1720" s="114"/>
      <c r="J1720" s="114"/>
    </row>
    <row r="1721" spans="9:10" s="8" customFormat="1">
      <c r="I1721" s="114"/>
      <c r="J1721" s="114"/>
    </row>
    <row r="1722" spans="9:10" s="8" customFormat="1">
      <c r="I1722" s="114"/>
      <c r="J1722" s="114"/>
    </row>
    <row r="1723" spans="9:10" s="8" customFormat="1">
      <c r="I1723" s="114"/>
      <c r="J1723" s="114"/>
    </row>
    <row r="1724" spans="9:10" s="8" customFormat="1">
      <c r="I1724" s="114"/>
      <c r="J1724" s="114"/>
    </row>
    <row r="1725" spans="9:10" s="8" customFormat="1">
      <c r="I1725" s="114"/>
      <c r="J1725" s="114"/>
    </row>
    <row r="1726" spans="9:10" s="8" customFormat="1">
      <c r="I1726" s="114"/>
      <c r="J1726" s="114"/>
    </row>
    <row r="1727" spans="9:10" s="8" customFormat="1">
      <c r="I1727" s="114"/>
      <c r="J1727" s="114"/>
    </row>
    <row r="1728" spans="9:10" s="8" customFormat="1">
      <c r="I1728" s="114"/>
      <c r="J1728" s="114"/>
    </row>
    <row r="1729" spans="9:10" s="8" customFormat="1">
      <c r="I1729" s="114"/>
      <c r="J1729" s="114"/>
    </row>
    <row r="1730" spans="9:10" s="8" customFormat="1">
      <c r="I1730" s="114"/>
      <c r="J1730" s="114"/>
    </row>
    <row r="1731" spans="9:10" s="8" customFormat="1">
      <c r="I1731" s="114"/>
      <c r="J1731" s="114"/>
    </row>
    <row r="1732" spans="9:10" s="8" customFormat="1">
      <c r="I1732" s="114"/>
      <c r="J1732" s="114"/>
    </row>
    <row r="1733" spans="9:10" s="8" customFormat="1">
      <c r="I1733" s="114"/>
      <c r="J1733" s="114"/>
    </row>
    <row r="1734" spans="9:10" s="8" customFormat="1">
      <c r="I1734" s="114"/>
      <c r="J1734" s="114"/>
    </row>
    <row r="1735" spans="9:10" s="8" customFormat="1">
      <c r="I1735" s="114"/>
      <c r="J1735" s="114"/>
    </row>
    <row r="1736" spans="9:10" s="8" customFormat="1">
      <c r="I1736" s="114"/>
      <c r="J1736" s="114"/>
    </row>
    <row r="1737" spans="9:10" s="8" customFormat="1">
      <c r="I1737" s="114"/>
      <c r="J1737" s="114"/>
    </row>
    <row r="1738" spans="9:10" s="8" customFormat="1">
      <c r="I1738" s="114"/>
      <c r="J1738" s="114"/>
    </row>
    <row r="1739" spans="9:10" s="8" customFormat="1">
      <c r="I1739" s="114"/>
      <c r="J1739" s="114"/>
    </row>
    <row r="1740" spans="9:10" s="8" customFormat="1">
      <c r="I1740" s="114"/>
      <c r="J1740" s="114"/>
    </row>
    <row r="1741" spans="9:10" s="8" customFormat="1">
      <c r="I1741" s="114"/>
      <c r="J1741" s="114"/>
    </row>
    <row r="1742" spans="9:10" s="8" customFormat="1">
      <c r="I1742" s="114"/>
      <c r="J1742" s="114"/>
    </row>
    <row r="1743" spans="9:10" s="8" customFormat="1">
      <c r="I1743" s="114"/>
      <c r="J1743" s="114"/>
    </row>
    <row r="1744" spans="9:10" s="8" customFormat="1">
      <c r="I1744" s="114"/>
      <c r="J1744" s="114"/>
    </row>
    <row r="1745" spans="9:14" s="8" customFormat="1">
      <c r="I1745" s="114"/>
      <c r="J1745" s="114"/>
    </row>
    <row r="1746" spans="9:14" s="8" customFormat="1">
      <c r="I1746" s="114"/>
      <c r="J1746" s="114"/>
    </row>
    <row r="1747" spans="9:14" s="8" customFormat="1">
      <c r="I1747" s="114"/>
      <c r="J1747" s="114"/>
    </row>
    <row r="1748" spans="9:14" s="8" customFormat="1">
      <c r="I1748" s="114"/>
      <c r="J1748" s="114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algorithmName="SHA-512" hashValue="kn8ROIqB92FtBRT7NL1wHwUCMgGsStn580UeaTFatuiF/ye2/Z02KtcrPUMV6gcEuTbH5ya7HFF9vcuy2LHAGQ==" saltValue="zsviYmXfWNvOgWe3YgOyVQ==" spinCount="100000" sheet="1" objects="1" scenarios="1" selectLockedCells="1"/>
  <mergeCells count="3">
    <mergeCell ref="C6:G6"/>
    <mergeCell ref="B4:E4"/>
    <mergeCell ref="C1:G1"/>
  </mergeCells>
  <phoneticPr fontId="6" type="noConversion"/>
  <conditionalFormatting sqref="I10:I208">
    <cfRule type="cellIs" dxfId="27" priority="3" operator="equal">
      <formula>0</formula>
    </cfRule>
  </conditionalFormatting>
  <conditionalFormatting sqref="I1:I1048576">
    <cfRule type="containsText" dxfId="26" priority="2" stopIfTrue="1" operator="containsText" text="Total">
      <formula>NOT(ISERROR(SEARCH("Total",I1)))</formula>
    </cfRule>
  </conditionalFormatting>
  <conditionalFormatting sqref="K10:K208">
    <cfRule type="cellIs" dxfId="25" priority="1" operator="equal">
      <formula>0</formula>
    </cfRule>
  </conditionalFormatting>
  <dataValidations count="3">
    <dataValidation type="list" allowBlank="1" showInputMessage="1" showErrorMessage="1" sqref="B10:B71" xr:uid="{00000000-0002-0000-0000-000000000000}">
      <formula1>$I$10:$I$208</formula1>
    </dataValidation>
    <dataValidation type="list" allowBlank="1" showInputMessage="1" showErrorMessage="1" sqref="B6" xr:uid="{00000000-0002-0000-0000-000001000000}">
      <formula1>$Q$10:$Q$69</formula1>
    </dataValidation>
    <dataValidation type="list" allowBlank="1" showInputMessage="1" showErrorMessage="1" sqref="F10:G71" xr:uid="{00000000-0002-0000-0000-000002000000}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C10:E71 A10:A71 H10:H71 I8 J10:K208 I10:I20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34"/>
  <sheetViews>
    <sheetView workbookViewId="0">
      <selection activeCell="B2" sqref="B2"/>
    </sheetView>
  </sheetViews>
  <sheetFormatPr baseColWidth="10" defaultRowHeight="15"/>
  <cols>
    <col min="1" max="1" width="18.83203125" style="77" customWidth="1"/>
    <col min="2" max="2" width="10.83203125" style="78" customWidth="1"/>
    <col min="3" max="3" width="8.83203125" style="77" customWidth="1"/>
    <col min="4" max="4" width="8.83203125" style="79" customWidth="1"/>
    <col min="5" max="5" width="12.83203125" style="77" customWidth="1"/>
    <col min="6" max="6" width="18.83203125" style="77" customWidth="1"/>
    <col min="7" max="7" width="10.83203125" style="77"/>
    <col min="8" max="9" width="8.83203125" style="77" customWidth="1"/>
    <col min="10" max="10" width="36.83203125" style="77" customWidth="1"/>
    <col min="11" max="11" width="85.83203125" style="77" customWidth="1"/>
    <col min="12" max="12" width="5.6640625" style="77" hidden="1" customWidth="1"/>
    <col min="13" max="13" width="10.83203125" style="77" hidden="1" customWidth="1"/>
    <col min="14" max="14" width="52.5" style="77" hidden="1" customWidth="1"/>
    <col min="15" max="16384" width="10.83203125" style="77"/>
  </cols>
  <sheetData>
    <row r="1" spans="1:14" ht="24" customHeight="1">
      <c r="A1" s="134" t="s">
        <v>385</v>
      </c>
      <c r="B1" s="134"/>
      <c r="C1" s="134"/>
      <c r="D1" s="134"/>
      <c r="E1" s="134"/>
      <c r="F1" s="134"/>
      <c r="G1" s="134"/>
      <c r="H1" s="134"/>
      <c r="I1" s="134"/>
      <c r="J1" s="101" t="s">
        <v>4</v>
      </c>
      <c r="K1" s="95"/>
    </row>
    <row r="2" spans="1:14" ht="21" customHeight="1">
      <c r="A2" s="98" t="s">
        <v>6</v>
      </c>
      <c r="B2" s="100"/>
      <c r="C2" s="135" t="str">
        <f>IF(B2="","",VLOOKUP($B2,$M$5:$N$64,2,FALSE))</f>
        <v/>
      </c>
      <c r="D2" s="135"/>
      <c r="E2" s="135"/>
      <c r="F2" s="135"/>
      <c r="G2" s="135"/>
      <c r="H2" s="81"/>
      <c r="I2" s="81"/>
      <c r="J2" s="101" t="s">
        <v>401</v>
      </c>
      <c r="K2" s="95"/>
    </row>
    <row r="3" spans="1:14" ht="7" customHeight="1">
      <c r="A3" s="133"/>
      <c r="B3" s="133"/>
      <c r="C3" s="133"/>
      <c r="D3" s="133"/>
      <c r="E3" s="81"/>
      <c r="F3" s="81"/>
      <c r="G3" s="81"/>
      <c r="H3" s="81"/>
      <c r="I3" s="81"/>
      <c r="J3" s="101"/>
      <c r="K3" s="95"/>
    </row>
    <row r="4" spans="1:14" ht="15" customHeight="1">
      <c r="A4" s="82" t="s">
        <v>382</v>
      </c>
      <c r="B4" s="83" t="s">
        <v>9</v>
      </c>
      <c r="C4" s="82" t="s">
        <v>127</v>
      </c>
      <c r="D4" s="82" t="s">
        <v>0</v>
      </c>
      <c r="E4" s="81"/>
      <c r="F4" s="82" t="s">
        <v>382</v>
      </c>
      <c r="G4" s="83" t="s">
        <v>9</v>
      </c>
      <c r="H4" s="82" t="s">
        <v>127</v>
      </c>
      <c r="I4" s="82" t="s">
        <v>0</v>
      </c>
      <c r="J4" s="101" t="s">
        <v>402</v>
      </c>
      <c r="K4" s="95"/>
      <c r="L4" s="80" t="s">
        <v>383</v>
      </c>
      <c r="M4" s="80" t="s">
        <v>383</v>
      </c>
      <c r="N4" s="80" t="s">
        <v>384</v>
      </c>
    </row>
    <row r="5" spans="1:14" ht="17" customHeight="1">
      <c r="A5" s="84" t="str">
        <f>IFERROR(HLOOKUP($B$2,Tab_Din_listagem!$A$2:$SY$333,4,0),"")</f>
        <v xml:space="preserve"> </v>
      </c>
      <c r="B5" s="85" t="str">
        <f>IFERROR(IF(VLOOKUP($A5,Atletas!$J:$P,4,FALSE)=0,"",VLOOKUP($A5,Atletas!$J:$P,4,FALSE)),"")</f>
        <v xml:space="preserve"> </v>
      </c>
      <c r="C5" s="86" t="str">
        <f ca="1">IFERROR(IF(VLOOKUP($A5,Atletas!$J:$P,5,FALSE)=0,"",VLOOKUP($A5,Atletas!$J:$P,5,FALSE)),"")</f>
        <v/>
      </c>
      <c r="D5" s="87" t="str">
        <f>IFERROR(IF(VLOOKUP($A5,Atletas!$J:$P,2,FALSE)=0,"",VLOOKUP($A5,Atletas!$J:$P,2,FALSE)),"")</f>
        <v/>
      </c>
      <c r="E5" s="81"/>
      <c r="F5" s="88">
        <f>IFERROR(HLOOKUP($B$2,Tab_Din_listagem!$A$2:$SY$333,29,0),"")</f>
        <v>0</v>
      </c>
      <c r="G5" s="89" t="str">
        <f>IFERROR(IF(VLOOKUP($F5,Atletas!$J:$P,4,FALSE)=0,"",VLOOKUP($F5,Atletas!$J:$P,4,FALSE)),"")</f>
        <v/>
      </c>
      <c r="H5" s="90" t="str">
        <f>IFERROR(IF(VLOOKUP($F5,Atletas!$J:$P,5,FALSE)=0,"",VLOOKUP($F5,Atletas!$J:$P,5,FALSE)),"")</f>
        <v/>
      </c>
      <c r="I5" s="86" t="str">
        <f>IFERROR(IF(VLOOKUP($F5,Atletas!$J:$P,2,FALSE)=0,"",VLOOKUP($F5,Atletas!$J:$P,2,FALSE)),"")</f>
        <v/>
      </c>
      <c r="J5" s="136" t="s">
        <v>511</v>
      </c>
      <c r="K5" s="95"/>
      <c r="L5" s="119" t="s">
        <v>322</v>
      </c>
      <c r="M5" s="120" t="s">
        <v>1646</v>
      </c>
      <c r="N5" s="120" t="s">
        <v>1655</v>
      </c>
    </row>
    <row r="6" spans="1:14" ht="17" customHeight="1">
      <c r="A6" s="88" t="str">
        <f>IFERROR(HLOOKUP($B$2,Tab_Din_listagem!$A$2:$SY$333,5,0),"")</f>
        <v/>
      </c>
      <c r="B6" s="89" t="str">
        <f>IFERROR(IF(VLOOKUP($A6,Atletas!$J:$P,4,FALSE)=0,"",VLOOKUP($A6,Atletas!$J:$P,4,FALSE)),"")</f>
        <v/>
      </c>
      <c r="C6" s="90" t="str">
        <f>IFERROR(IF(VLOOKUP($A6,Atletas!$J:$P,5,FALSE)=0,"",VLOOKUP($A6,Atletas!$J:$P,5,FALSE)),"")</f>
        <v/>
      </c>
      <c r="D6" s="86" t="str">
        <f>IFERROR(IF(VLOOKUP($A6,Atletas!$J:$P,2,FALSE)=0,"",VLOOKUP($A6,Atletas!$J:$P,2,FALSE)),"")</f>
        <v/>
      </c>
      <c r="E6" s="81"/>
      <c r="F6" s="88">
        <f>IFERROR(HLOOKUP($B$2,Tab_Din_listagem!$A$2:$SY$333,30,0),"")</f>
        <v>0</v>
      </c>
      <c r="G6" s="89" t="str">
        <f>IFERROR(IF(VLOOKUP($F6,Atletas!$J:$P,4,FALSE)=0,"",VLOOKUP($F6,Atletas!$J:$P,4,FALSE)),"")</f>
        <v/>
      </c>
      <c r="H6" s="90" t="str">
        <f>IFERROR(IF(VLOOKUP($F6,Atletas!$J:$P,5,FALSE)=0,"",VLOOKUP($F6,Atletas!$J:$P,5,FALSE)),"")</f>
        <v/>
      </c>
      <c r="I6" s="86" t="str">
        <f>IFERROR(IF(VLOOKUP($F6,Atletas!$J:$P,2,FALSE)=0,"",VLOOKUP($F6,Atletas!$J:$P,2,FALSE)),"")</f>
        <v/>
      </c>
      <c r="J6" s="136"/>
      <c r="K6" s="95"/>
      <c r="L6" s="119" t="s">
        <v>323</v>
      </c>
      <c r="M6" s="120" t="s">
        <v>954</v>
      </c>
      <c r="N6" s="120" t="s">
        <v>1656</v>
      </c>
    </row>
    <row r="7" spans="1:14" ht="17" customHeight="1">
      <c r="A7" s="88" t="str">
        <f>IFERROR(HLOOKUP($B$2,Tab_Din_listagem!$A$2:$SY$333,6,0),"")</f>
        <v xml:space="preserve"> </v>
      </c>
      <c r="B7" s="89" t="str">
        <f>IFERROR(IF(VLOOKUP($A7,Atletas!$J:$P,4,FALSE)=0,"",VLOOKUP($A7,Atletas!$J:$P,4,FALSE)),"")</f>
        <v xml:space="preserve"> </v>
      </c>
      <c r="C7" s="90" t="str">
        <f ca="1">IFERROR(IF(VLOOKUP($A7,Atletas!$J:$P,5,FALSE)=0,"",VLOOKUP($A7,Atletas!$J:$P,5,FALSE)),"")</f>
        <v/>
      </c>
      <c r="D7" s="86" t="str">
        <f>IFERROR(IF(VLOOKUP($A7,Atletas!$J:$P,2,FALSE)=0,"",VLOOKUP($A7,Atletas!$J:$P,2,FALSE)),"")</f>
        <v/>
      </c>
      <c r="E7" s="81"/>
      <c r="F7" s="88">
        <f>IFERROR(HLOOKUP($B$2,Tab_Din_listagem!$A$2:$SY$333,31,0),"")</f>
        <v>0</v>
      </c>
      <c r="G7" s="89" t="str">
        <f>IFERROR(IF(VLOOKUP($F7,Atletas!$J:$P,4,FALSE)=0,"",VLOOKUP($F7,Atletas!$J:$P,4,FALSE)),"")</f>
        <v/>
      </c>
      <c r="H7" s="90" t="str">
        <f>IFERROR(IF(VLOOKUP($F7,Atletas!$J:$P,5,FALSE)=0,"",VLOOKUP($F7,Atletas!$J:$P,5,FALSE)),"")</f>
        <v/>
      </c>
      <c r="I7" s="86" t="str">
        <f>IFERROR(IF(VLOOKUP($F7,Atletas!$J:$P,2,FALSE)=0,"",VLOOKUP($F7,Atletas!$J:$P,2,FALSE)),"")</f>
        <v/>
      </c>
      <c r="J7" s="136"/>
      <c r="K7" s="95"/>
      <c r="L7" s="119" t="s">
        <v>324</v>
      </c>
      <c r="M7" s="120" t="s">
        <v>796</v>
      </c>
      <c r="N7" s="120" t="s">
        <v>1657</v>
      </c>
    </row>
    <row r="8" spans="1:14" ht="17" customHeight="1">
      <c r="A8" s="88">
        <f>IFERROR(HLOOKUP($B$2,Tab_Din_listagem!$A$2:$SY$333,7,0),"")</f>
        <v>0</v>
      </c>
      <c r="B8" s="89" t="str">
        <f>IFERROR(IF(VLOOKUP($A8,Atletas!$J:$P,4,FALSE)=0,"",VLOOKUP($A8,Atletas!$J:$P,4,FALSE)),"")</f>
        <v/>
      </c>
      <c r="C8" s="90" t="str">
        <f>IFERROR(IF(VLOOKUP($A8,Atletas!$J:$P,5,FALSE)=0,"",VLOOKUP($A8,Atletas!$J:$P,5,FALSE)),"")</f>
        <v/>
      </c>
      <c r="D8" s="86" t="str">
        <f>IFERROR(IF(VLOOKUP($A8,Atletas!$J:$P,2,FALSE)=0,"",VLOOKUP($A8,Atletas!$J:$P,2,FALSE)),"")</f>
        <v/>
      </c>
      <c r="E8" s="81"/>
      <c r="F8" s="88">
        <f>IFERROR(HLOOKUP($B$2,Tab_Din_listagem!$A$2:$SY$333,32,0),"")</f>
        <v>0</v>
      </c>
      <c r="G8" s="89" t="str">
        <f>IFERROR(IF(VLOOKUP($F8,Atletas!$J:$P,4,FALSE)=0,"",VLOOKUP($F8,Atletas!$J:$P,4,FALSE)),"")</f>
        <v/>
      </c>
      <c r="H8" s="90" t="str">
        <f>IFERROR(IF(VLOOKUP($F8,Atletas!$J:$P,5,FALSE)=0,"",VLOOKUP($F8,Atletas!$J:$P,5,FALSE)),"")</f>
        <v/>
      </c>
      <c r="I8" s="86" t="str">
        <f>IFERROR(IF(VLOOKUP($F8,Atletas!$J:$P,2,FALSE)=0,"",VLOOKUP($F8,Atletas!$J:$P,2,FALSE)),"")</f>
        <v/>
      </c>
      <c r="J8" s="136"/>
      <c r="K8" s="95"/>
      <c r="L8" s="119" t="s">
        <v>325</v>
      </c>
      <c r="M8" s="120" t="s">
        <v>1236</v>
      </c>
      <c r="N8" s="120" t="s">
        <v>1658</v>
      </c>
    </row>
    <row r="9" spans="1:14" ht="17" customHeight="1">
      <c r="A9" s="88" t="str">
        <f>IFERROR(HLOOKUP($B$2,Tab_Din_listagem!$A$2:$SY$333,8,0),"")</f>
        <v>V 100</v>
      </c>
      <c r="B9" s="89" t="str">
        <f>IFERROR(IF(VLOOKUP($A9,Atletas!$J:$P,4,FALSE)=0,"",VLOOKUP($A9,Atletas!$J:$P,4,FALSE)),"")</f>
        <v/>
      </c>
      <c r="C9" s="90" t="str">
        <f>IFERROR(IF(VLOOKUP($A9,Atletas!$J:$P,5,FALSE)=0,"",VLOOKUP($A9,Atletas!$J:$P,5,FALSE)),"")</f>
        <v/>
      </c>
      <c r="D9" s="86" t="str">
        <f>IFERROR(IF(VLOOKUP($A9,Atletas!$J:$P,2,FALSE)=0,"",VLOOKUP($A9,Atletas!$J:$P,2,FALSE)),"")</f>
        <v/>
      </c>
      <c r="E9" s="81"/>
      <c r="F9" s="88">
        <f>IFERROR(HLOOKUP($B$2,Tab_Din_listagem!$A$2:$SY$333,33,0),"")</f>
        <v>0</v>
      </c>
      <c r="G9" s="89" t="str">
        <f>IFERROR(IF(VLOOKUP($F9,Atletas!$J:$P,4,FALSE)=0,"",VLOOKUP($F9,Atletas!$J:$P,4,FALSE)),"")</f>
        <v/>
      </c>
      <c r="H9" s="90" t="str">
        <f>IFERROR(IF(VLOOKUP($F9,Atletas!$J:$P,5,FALSE)=0,"",VLOOKUP($F9,Atletas!$J:$P,5,FALSE)),"")</f>
        <v/>
      </c>
      <c r="I9" s="86" t="str">
        <f>IFERROR(IF(VLOOKUP($F9,Atletas!$J:$P,2,FALSE)=0,"",VLOOKUP($F9,Atletas!$J:$P,2,FALSE)),"")</f>
        <v/>
      </c>
      <c r="J9" s="95"/>
      <c r="K9" s="95"/>
      <c r="L9" s="119" t="s">
        <v>326</v>
      </c>
      <c r="M9" s="120" t="s">
        <v>1042</v>
      </c>
      <c r="N9" s="120" t="s">
        <v>1659</v>
      </c>
    </row>
    <row r="10" spans="1:14" ht="17" customHeight="1">
      <c r="A10" s="88" t="str">
        <f>IFERROR(HLOOKUP($B$2,Tab_Din_listagem!$A$2:$SY$333,9,0),"")</f>
        <v xml:space="preserve"> </v>
      </c>
      <c r="B10" s="89" t="str">
        <f>IFERROR(IF(VLOOKUP($A10,Atletas!$J:$P,4,FALSE)=0,"",VLOOKUP($A10,Atletas!$J:$P,4,FALSE)),"")</f>
        <v xml:space="preserve"> </v>
      </c>
      <c r="C10" s="90" t="str">
        <f ca="1">IFERROR(IF(VLOOKUP($A10,Atletas!$J:$P,5,FALSE)=0,"",VLOOKUP($A10,Atletas!$J:$P,5,FALSE)),"")</f>
        <v/>
      </c>
      <c r="D10" s="86" t="str">
        <f>IFERROR(IF(VLOOKUP($A10,Atletas!$J:$P,2,FALSE)=0,"",VLOOKUP($A10,Atletas!$J:$P,2,FALSE)),"")</f>
        <v/>
      </c>
      <c r="E10" s="81"/>
      <c r="F10" s="88">
        <f>IFERROR(HLOOKUP($B$2,Tab_Din_listagem!$A$2:$SY$333,34,0),"")</f>
        <v>0</v>
      </c>
      <c r="G10" s="89" t="str">
        <f>IFERROR(IF(VLOOKUP($F10,Atletas!$J:$P,4,FALSE)=0,"",VLOOKUP($F10,Atletas!$J:$P,4,FALSE)),"")</f>
        <v/>
      </c>
      <c r="H10" s="90" t="str">
        <f>IFERROR(IF(VLOOKUP($F10,Atletas!$J:$P,5,FALSE)=0,"",VLOOKUP($F10,Atletas!$J:$P,5,FALSE)),"")</f>
        <v/>
      </c>
      <c r="I10" s="86" t="str">
        <f>IFERROR(IF(VLOOKUP($F10,Atletas!$J:$P,2,FALSE)=0,"",VLOOKUP($F10,Atletas!$J:$P,2,FALSE)),"")</f>
        <v/>
      </c>
      <c r="J10" s="95"/>
      <c r="K10" s="95"/>
      <c r="L10" s="119" t="s">
        <v>327</v>
      </c>
      <c r="M10" s="120" t="s">
        <v>159</v>
      </c>
      <c r="N10" s="120" t="s">
        <v>1660</v>
      </c>
    </row>
    <row r="11" spans="1:14" ht="17" customHeight="1">
      <c r="A11" s="88" t="str">
        <f>IFERROR(HLOOKUP($B$2,Tab_Din_listagem!$A$2:$SY$333,10,0),"")</f>
        <v>Total Geral</v>
      </c>
      <c r="B11" s="89" t="str">
        <f>IFERROR(IF(VLOOKUP($A11,Atletas!$J:$P,4,FALSE)=0,"",VLOOKUP($A11,Atletas!$J:$P,4,FALSE)),"")</f>
        <v/>
      </c>
      <c r="C11" s="90" t="str">
        <f>IFERROR(IF(VLOOKUP($A11,Atletas!$J:$P,5,FALSE)=0,"",VLOOKUP($A11,Atletas!$J:$P,5,FALSE)),"")</f>
        <v/>
      </c>
      <c r="D11" s="86" t="str">
        <f>IFERROR(IF(VLOOKUP($A11,Atletas!$J:$P,2,FALSE)=0,"",VLOOKUP($A11,Atletas!$J:$P,2,FALSE)),"")</f>
        <v/>
      </c>
      <c r="E11" s="81"/>
      <c r="F11" s="88">
        <f>IFERROR(HLOOKUP($B$2,Tab_Din_listagem!$A$2:$SY$333,35,0),"")</f>
        <v>0</v>
      </c>
      <c r="G11" s="89" t="str">
        <f>IFERROR(IF(VLOOKUP($F11,Atletas!$J:$P,4,FALSE)=0,"",VLOOKUP($F11,Atletas!$J:$P,4,FALSE)),"")</f>
        <v/>
      </c>
      <c r="H11" s="90" t="str">
        <f>IFERROR(IF(VLOOKUP($F11,Atletas!$J:$P,5,FALSE)=0,"",VLOOKUP($F11,Atletas!$J:$P,5,FALSE)),"")</f>
        <v/>
      </c>
      <c r="I11" s="86" t="str">
        <f>IFERROR(IF(VLOOKUP($F11,Atletas!$J:$P,2,FALSE)=0,"",VLOOKUP($F11,Atletas!$J:$P,2,FALSE)),"")</f>
        <v/>
      </c>
      <c r="J11" s="95"/>
      <c r="K11" s="95"/>
      <c r="L11" s="119" t="s">
        <v>328</v>
      </c>
      <c r="M11" s="120" t="s">
        <v>999</v>
      </c>
      <c r="N11" s="120" t="s">
        <v>1661</v>
      </c>
    </row>
    <row r="12" spans="1:14" ht="17" customHeight="1">
      <c r="A12" s="88">
        <f>IFERROR(HLOOKUP($B$2,Tab_Din_listagem!$A$2:$SY$333,11,0),"")</f>
        <v>0</v>
      </c>
      <c r="B12" s="89" t="str">
        <f>IFERROR(IF(VLOOKUP($A12,Atletas!$J:$P,4,FALSE)=0,"",VLOOKUP($A12,Atletas!$J:$P,4,FALSE)),"")</f>
        <v/>
      </c>
      <c r="C12" s="90" t="str">
        <f>IFERROR(IF(VLOOKUP($A12,Atletas!$J:$P,5,FALSE)=0,"",VLOOKUP($A12,Atletas!$J:$P,5,FALSE)),"")</f>
        <v/>
      </c>
      <c r="D12" s="86" t="str">
        <f>IFERROR(IF(VLOOKUP($A12,Atletas!$J:$P,2,FALSE)=0,"",VLOOKUP($A12,Atletas!$J:$P,2,FALSE)),"")</f>
        <v/>
      </c>
      <c r="E12" s="81"/>
      <c r="F12" s="88">
        <f>IFERROR(HLOOKUP($B$2,Tab_Din_listagem!$A$2:$SY$333,36,0),"")</f>
        <v>0</v>
      </c>
      <c r="G12" s="89" t="str">
        <f>IFERROR(IF(VLOOKUP($F12,Atletas!$J:$P,4,FALSE)=0,"",VLOOKUP($F12,Atletas!$J:$P,4,FALSE)),"")</f>
        <v/>
      </c>
      <c r="H12" s="90" t="str">
        <f>IFERROR(IF(VLOOKUP($F12,Atletas!$J:$P,5,FALSE)=0,"",VLOOKUP($F12,Atletas!$J:$P,5,FALSE)),"")</f>
        <v/>
      </c>
      <c r="I12" s="86" t="str">
        <f>IFERROR(IF(VLOOKUP($F12,Atletas!$J:$P,2,FALSE)=0,"",VLOOKUP($F12,Atletas!$J:$P,2,FALSE)),"")</f>
        <v/>
      </c>
      <c r="J12" s="95"/>
      <c r="K12" s="95"/>
      <c r="L12" s="119" t="s">
        <v>329</v>
      </c>
      <c r="M12" s="120" t="s">
        <v>97</v>
      </c>
      <c r="N12" s="120" t="s">
        <v>1662</v>
      </c>
    </row>
    <row r="13" spans="1:14" ht="17" customHeight="1">
      <c r="A13" s="88">
        <f>IFERROR(HLOOKUP($B$2,Tab_Din_listagem!$A$2:$SY$333,12,0),"")</f>
        <v>0</v>
      </c>
      <c r="B13" s="89" t="str">
        <f>IFERROR(IF(VLOOKUP($A13,Atletas!$J:$P,4,FALSE)=0,"",VLOOKUP($A13,Atletas!$J:$P,4,FALSE)),"")</f>
        <v/>
      </c>
      <c r="C13" s="90" t="str">
        <f>IFERROR(IF(VLOOKUP($A13,Atletas!$J:$P,5,FALSE)=0,"",VLOOKUP($A13,Atletas!$J:$P,5,FALSE)),"")</f>
        <v/>
      </c>
      <c r="D13" s="86" t="str">
        <f>IFERROR(IF(VLOOKUP($A13,Atletas!$J:$P,2,FALSE)=0,"",VLOOKUP($A13,Atletas!$J:$P,2,FALSE)),"")</f>
        <v/>
      </c>
      <c r="E13" s="81"/>
      <c r="F13" s="88">
        <f>IFERROR(HLOOKUP($B$2,Tab_Din_listagem!$A$2:$SY$333,37,0),"")</f>
        <v>0</v>
      </c>
      <c r="G13" s="89" t="str">
        <f>IFERROR(IF(VLOOKUP($F13,Atletas!$J:$P,4,FALSE)=0,"",VLOOKUP($F13,Atletas!$J:$P,4,FALSE)),"")</f>
        <v/>
      </c>
      <c r="H13" s="90" t="str">
        <f>IFERROR(IF(VLOOKUP($F13,Atletas!$J:$P,5,FALSE)=0,"",VLOOKUP($F13,Atletas!$J:$P,5,FALSE)),"")</f>
        <v/>
      </c>
      <c r="I13" s="86" t="str">
        <f>IFERROR(IF(VLOOKUP($F13,Atletas!$J:$P,2,FALSE)=0,"",VLOOKUP($F13,Atletas!$J:$P,2,FALSE)),"")</f>
        <v/>
      </c>
      <c r="J13" s="95"/>
      <c r="K13" s="95"/>
      <c r="L13" s="119" t="s">
        <v>330</v>
      </c>
      <c r="M13" s="120" t="s">
        <v>123</v>
      </c>
      <c r="N13" s="120" t="s">
        <v>1663</v>
      </c>
    </row>
    <row r="14" spans="1:14" ht="17" customHeight="1">
      <c r="A14" s="88">
        <f>IFERROR(HLOOKUP($B$2,Tab_Din_listagem!$A$2:$SY$333,13,0),"")</f>
        <v>0</v>
      </c>
      <c r="B14" s="89" t="str">
        <f>IFERROR(IF(VLOOKUP($A14,Atletas!$J:$P,4,FALSE)=0,"",VLOOKUP($A14,Atletas!$J:$P,4,FALSE)),"")</f>
        <v/>
      </c>
      <c r="C14" s="90" t="str">
        <f>IFERROR(IF(VLOOKUP($A14,Atletas!$J:$P,5,FALSE)=0,"",VLOOKUP($A14,Atletas!$J:$P,5,FALSE)),"")</f>
        <v/>
      </c>
      <c r="D14" s="86" t="str">
        <f>IFERROR(IF(VLOOKUP($A14,Atletas!$J:$P,2,FALSE)=0,"",VLOOKUP($A14,Atletas!$J:$P,2,FALSE)),"")</f>
        <v/>
      </c>
      <c r="E14" s="81"/>
      <c r="F14" s="88">
        <f>IFERROR(HLOOKUP($B$2,Tab_Din_listagem!$A$2:$SY$333,38,0),"")</f>
        <v>0</v>
      </c>
      <c r="G14" s="89" t="str">
        <f>IFERROR(IF(VLOOKUP($F14,Atletas!$J:$P,4,FALSE)=0,"",VLOOKUP($F14,Atletas!$J:$P,4,FALSE)),"")</f>
        <v/>
      </c>
      <c r="H14" s="90" t="str">
        <f>IFERROR(IF(VLOOKUP($F14,Atletas!$J:$P,5,FALSE)=0,"",VLOOKUP($F14,Atletas!$J:$P,5,FALSE)),"")</f>
        <v/>
      </c>
      <c r="I14" s="86" t="str">
        <f>IFERROR(IF(VLOOKUP($F14,Atletas!$J:$P,2,FALSE)=0,"",VLOOKUP($F14,Atletas!$J:$P,2,FALSE)),"")</f>
        <v/>
      </c>
      <c r="J14" s="95"/>
      <c r="K14" s="95"/>
      <c r="L14" s="119" t="s">
        <v>331</v>
      </c>
      <c r="M14" s="120" t="s">
        <v>509</v>
      </c>
      <c r="N14" s="120" t="s">
        <v>1664</v>
      </c>
    </row>
    <row r="15" spans="1:14" ht="17" customHeight="1">
      <c r="A15" s="88">
        <f>IFERROR(HLOOKUP($B$2,Tab_Din_listagem!$A$2:$SY$333,14,0),"")</f>
        <v>0</v>
      </c>
      <c r="B15" s="89" t="str">
        <f>IFERROR(IF(VLOOKUP($A15,Atletas!$J:$P,4,FALSE)=0,"",VLOOKUP($A15,Atletas!$J:$P,4,FALSE)),"")</f>
        <v/>
      </c>
      <c r="C15" s="90" t="str">
        <f>IFERROR(IF(VLOOKUP($A15,Atletas!$J:$P,5,FALSE)=0,"",VLOOKUP($A15,Atletas!$J:$P,5,FALSE)),"")</f>
        <v/>
      </c>
      <c r="D15" s="86" t="str">
        <f>IFERROR(IF(VLOOKUP($A15,Atletas!$J:$P,2,FALSE)=0,"",VLOOKUP($A15,Atletas!$J:$P,2,FALSE)),"")</f>
        <v/>
      </c>
      <c r="E15" s="81"/>
      <c r="F15" s="88">
        <f>IFERROR(HLOOKUP($B$2,Tab_Din_listagem!$A$2:$SY$333,39,0),"")</f>
        <v>0</v>
      </c>
      <c r="G15" s="89" t="str">
        <f>IFERROR(IF(VLOOKUP($F15,Atletas!$J:$P,4,FALSE)=0,"",VLOOKUP($F15,Atletas!$J:$P,4,FALSE)),"")</f>
        <v/>
      </c>
      <c r="H15" s="90" t="str">
        <f>IFERROR(IF(VLOOKUP($F15,Atletas!$J:$P,5,FALSE)=0,"",VLOOKUP($F15,Atletas!$J:$P,5,FALSE)),"")</f>
        <v/>
      </c>
      <c r="I15" s="86" t="str">
        <f>IFERROR(IF(VLOOKUP($F15,Atletas!$J:$P,2,FALSE)=0,"",VLOOKUP($F15,Atletas!$J:$P,2,FALSE)),"")</f>
        <v/>
      </c>
      <c r="J15" s="95"/>
      <c r="K15" s="95"/>
      <c r="L15" s="119" t="s">
        <v>332</v>
      </c>
      <c r="M15" s="120" t="s">
        <v>152</v>
      </c>
      <c r="N15" s="120" t="s">
        <v>1665</v>
      </c>
    </row>
    <row r="16" spans="1:14" ht="17" customHeight="1">
      <c r="A16" s="88">
        <f>IFERROR(HLOOKUP($B$2,Tab_Din_listagem!$A$2:$SY$333,15,0),"")</f>
        <v>0</v>
      </c>
      <c r="B16" s="89" t="str">
        <f>IFERROR(IF(VLOOKUP($A16,Atletas!$J:$P,4,FALSE)=0,"",VLOOKUP($A16,Atletas!$J:$P,4,FALSE)),"")</f>
        <v/>
      </c>
      <c r="C16" s="90" t="str">
        <f>IFERROR(IF(VLOOKUP($A16,Atletas!$J:$P,5,FALSE)=0,"",VLOOKUP($A16,Atletas!$J:$P,5,FALSE)),"")</f>
        <v/>
      </c>
      <c r="D16" s="86" t="str">
        <f>IFERROR(IF(VLOOKUP($A16,Atletas!$J:$P,2,FALSE)=0,"",VLOOKUP($A16,Atletas!$J:$P,2,FALSE)),"")</f>
        <v/>
      </c>
      <c r="E16" s="81"/>
      <c r="F16" s="88">
        <f>IFERROR(HLOOKUP($B$2,Tab_Din_listagem!$A$2:$SY$333,40,0),"")</f>
        <v>0</v>
      </c>
      <c r="G16" s="89" t="str">
        <f>IFERROR(IF(VLOOKUP($F16,Atletas!$J:$P,4,FALSE)=0,"",VLOOKUP($F16,Atletas!$J:$P,4,FALSE)),"")</f>
        <v/>
      </c>
      <c r="H16" s="90" t="str">
        <f>IFERROR(IF(VLOOKUP($F16,Atletas!$J:$P,5,FALSE)=0,"",VLOOKUP($F16,Atletas!$J:$P,5,FALSE)),"")</f>
        <v/>
      </c>
      <c r="I16" s="86" t="str">
        <f>IFERROR(IF(VLOOKUP($F16,Atletas!$J:$P,2,FALSE)=0,"",VLOOKUP($F16,Atletas!$J:$P,2,FALSE)),"")</f>
        <v/>
      </c>
      <c r="J16" s="95"/>
      <c r="K16" s="95"/>
      <c r="L16" s="119" t="s">
        <v>333</v>
      </c>
      <c r="M16" s="120" t="s">
        <v>165</v>
      </c>
      <c r="N16" s="120" t="s">
        <v>1666</v>
      </c>
    </row>
    <row r="17" spans="1:14" ht="17" customHeight="1">
      <c r="A17" s="88">
        <f>IFERROR(HLOOKUP($B$2,Tab_Din_listagem!$A$2:$SY$333,16,0),"")</f>
        <v>0</v>
      </c>
      <c r="B17" s="89" t="str">
        <f>IFERROR(IF(VLOOKUP($A17,Atletas!$J:$P,4,FALSE)=0,"",VLOOKUP($A17,Atletas!$J:$P,4,FALSE)),"")</f>
        <v/>
      </c>
      <c r="C17" s="90" t="str">
        <f>IFERROR(IF(VLOOKUP($A17,Atletas!$J:$P,5,FALSE)=0,"",VLOOKUP($A17,Atletas!$J:$P,5,FALSE)),"")</f>
        <v/>
      </c>
      <c r="D17" s="86" t="str">
        <f>IFERROR(IF(VLOOKUP($A17,Atletas!$J:$P,2,FALSE)=0,"",VLOOKUP($A17,Atletas!$J:$P,2,FALSE)),"")</f>
        <v/>
      </c>
      <c r="E17" s="81"/>
      <c r="F17" s="88">
        <f>IFERROR(HLOOKUP($B$2,Tab_Din_listagem!$A$2:$SY$333,41,0),"")</f>
        <v>0</v>
      </c>
      <c r="G17" s="89" t="str">
        <f>IFERROR(IF(VLOOKUP($F17,Atletas!$J:$P,4,FALSE)=0,"",VLOOKUP($F17,Atletas!$J:$P,4,FALSE)),"")</f>
        <v/>
      </c>
      <c r="H17" s="90" t="str">
        <f>IFERROR(IF(VLOOKUP($F17,Atletas!$J:$P,5,FALSE)=0,"",VLOOKUP($F17,Atletas!$J:$P,5,FALSE)),"")</f>
        <v/>
      </c>
      <c r="I17" s="86" t="str">
        <f>IFERROR(IF(VLOOKUP($F17,Atletas!$J:$P,2,FALSE)=0,"",VLOOKUP($F17,Atletas!$J:$P,2,FALSE)),"")</f>
        <v/>
      </c>
      <c r="J17" s="95"/>
      <c r="K17" s="95"/>
      <c r="L17" s="119" t="s">
        <v>334</v>
      </c>
      <c r="M17" s="120" t="s">
        <v>957</v>
      </c>
      <c r="N17" s="120" t="s">
        <v>1667</v>
      </c>
    </row>
    <row r="18" spans="1:14" ht="17" customHeight="1">
      <c r="A18" s="88">
        <f>IFERROR(HLOOKUP($B$2,Tab_Din_listagem!$A$2:$SY$333,17,0),"")</f>
        <v>0</v>
      </c>
      <c r="B18" s="89" t="str">
        <f>IFERROR(IF(VLOOKUP($A18,Atletas!$J:$P,4,FALSE)=0,"",VLOOKUP($A18,Atletas!$J:$P,4,FALSE)),"")</f>
        <v/>
      </c>
      <c r="C18" s="90" t="str">
        <f>IFERROR(IF(VLOOKUP($A18,Atletas!$J:$P,5,FALSE)=0,"",VLOOKUP($A18,Atletas!$J:$P,5,FALSE)),"")</f>
        <v/>
      </c>
      <c r="D18" s="86" t="str">
        <f>IFERROR(IF(VLOOKUP($A18,Atletas!$J:$P,2,FALSE)=0,"",VLOOKUP($A18,Atletas!$J:$P,2,FALSE)),"")</f>
        <v/>
      </c>
      <c r="E18" s="81"/>
      <c r="F18" s="88">
        <f>IFERROR(HLOOKUP($B$2,Tab_Din_listagem!$A$2:$SY$333,42,0),"")</f>
        <v>0</v>
      </c>
      <c r="G18" s="89" t="str">
        <f>IFERROR(IF(VLOOKUP($F18,Atletas!$J:$P,4,FALSE)=0,"",VLOOKUP($F18,Atletas!$J:$P,4,FALSE)),"")</f>
        <v/>
      </c>
      <c r="H18" s="90" t="str">
        <f>IFERROR(IF(VLOOKUP($F18,Atletas!$J:$P,5,FALSE)=0,"",VLOOKUP($F18,Atletas!$J:$P,5,FALSE)),"")</f>
        <v/>
      </c>
      <c r="I18" s="86" t="str">
        <f>IFERROR(IF(VLOOKUP($F18,Atletas!$J:$P,2,FALSE)=0,"",VLOOKUP($F18,Atletas!$J:$P,2,FALSE)),"")</f>
        <v/>
      </c>
      <c r="J18" s="95"/>
      <c r="K18" s="95"/>
      <c r="L18" s="119" t="s">
        <v>335</v>
      </c>
      <c r="M18" s="120" t="s">
        <v>143</v>
      </c>
      <c r="N18" s="120" t="s">
        <v>1668</v>
      </c>
    </row>
    <row r="19" spans="1:14" ht="17" customHeight="1">
      <c r="A19" s="88">
        <f>IFERROR(HLOOKUP($B$2,Tab_Din_listagem!$A$2:$SY$333,18,0),"")</f>
        <v>0</v>
      </c>
      <c r="B19" s="89" t="str">
        <f>IFERROR(IF(VLOOKUP($A19,Atletas!$J:$P,4,FALSE)=0,"",VLOOKUP($A19,Atletas!$J:$P,4,FALSE)),"")</f>
        <v/>
      </c>
      <c r="C19" s="90" t="str">
        <f>IFERROR(IF(VLOOKUP($A19,Atletas!$J:$P,5,FALSE)=0,"",VLOOKUP($A19,Atletas!$J:$P,5,FALSE)),"")</f>
        <v/>
      </c>
      <c r="D19" s="86" t="str">
        <f>IFERROR(IF(VLOOKUP($A19,Atletas!$J:$P,2,FALSE)=0,"",VLOOKUP($A19,Atletas!$J:$P,2,FALSE)),"")</f>
        <v/>
      </c>
      <c r="E19" s="81"/>
      <c r="F19" s="88">
        <f>IFERROR(HLOOKUP($B$2,Tab_Din_listagem!$A$2:$SY$333,43,0),"")</f>
        <v>0</v>
      </c>
      <c r="G19" s="89" t="str">
        <f>IFERROR(IF(VLOOKUP($F19,Atletas!$J:$P,4,FALSE)=0,"",VLOOKUP($F19,Atletas!$J:$P,4,FALSE)),"")</f>
        <v/>
      </c>
      <c r="H19" s="90" t="str">
        <f>IFERROR(IF(VLOOKUP($F19,Atletas!$J:$P,5,FALSE)=0,"",VLOOKUP($F19,Atletas!$J:$P,5,FALSE)),"")</f>
        <v/>
      </c>
      <c r="I19" s="86" t="str">
        <f>IFERROR(IF(VLOOKUP($F19,Atletas!$J:$P,2,FALSE)=0,"",VLOOKUP($F19,Atletas!$J:$P,2,FALSE)),"")</f>
        <v/>
      </c>
      <c r="J19" s="95"/>
      <c r="K19" s="95"/>
      <c r="L19" s="119" t="s">
        <v>336</v>
      </c>
      <c r="M19" s="120" t="s">
        <v>158</v>
      </c>
      <c r="N19" s="120" t="s">
        <v>1669</v>
      </c>
    </row>
    <row r="20" spans="1:14" ht="17" customHeight="1">
      <c r="A20" s="88">
        <f>IFERROR(HLOOKUP($B$2,Tab_Din_listagem!$A$2:$SY$333,19,0),"")</f>
        <v>0</v>
      </c>
      <c r="B20" s="89" t="str">
        <f>IFERROR(IF(VLOOKUP($A20,Atletas!$J:$P,4,FALSE)=0,"",VLOOKUP($A20,Atletas!$J:$P,4,FALSE)),"")</f>
        <v/>
      </c>
      <c r="C20" s="90" t="str">
        <f>IFERROR(IF(VLOOKUP($A20,Atletas!$J:$P,5,FALSE)=0,"",VLOOKUP($A20,Atletas!$J:$P,5,FALSE)),"")</f>
        <v/>
      </c>
      <c r="D20" s="86" t="str">
        <f>IFERROR(IF(VLOOKUP($A20,Atletas!$J:$P,2,FALSE)=0,"",VLOOKUP($A20,Atletas!$J:$P,2,FALSE)),"")</f>
        <v/>
      </c>
      <c r="E20" s="81"/>
      <c r="F20" s="88">
        <f>IFERROR(HLOOKUP($B$2,Tab_Din_listagem!$A$2:$SY$333,44,0),"")</f>
        <v>0</v>
      </c>
      <c r="G20" s="89" t="str">
        <f>IFERROR(IF(VLOOKUP($F20,Atletas!$J:$P,4,FALSE)=0,"",VLOOKUP($F20,Atletas!$J:$P,4,FALSE)),"")</f>
        <v/>
      </c>
      <c r="H20" s="90" t="str">
        <f>IFERROR(IF(VLOOKUP($F20,Atletas!$J:$P,5,FALSE)=0,"",VLOOKUP($F20,Atletas!$J:$P,5,FALSE)),"")</f>
        <v/>
      </c>
      <c r="I20" s="86" t="str">
        <f>IFERROR(IF(VLOOKUP($F20,Atletas!$J:$P,2,FALSE)=0,"",VLOOKUP($F20,Atletas!$J:$P,2,FALSE)),"")</f>
        <v/>
      </c>
      <c r="J20" s="95"/>
      <c r="K20" s="95"/>
      <c r="L20" s="119" t="s">
        <v>337</v>
      </c>
      <c r="M20" s="120" t="s">
        <v>156</v>
      </c>
      <c r="N20" s="120" t="s">
        <v>1670</v>
      </c>
    </row>
    <row r="21" spans="1:14" ht="17" customHeight="1">
      <c r="A21" s="88">
        <f>IFERROR(HLOOKUP($B$2,Tab_Din_listagem!$A$2:$SY$333,20,0),"")</f>
        <v>0</v>
      </c>
      <c r="B21" s="89" t="str">
        <f>IFERROR(IF(VLOOKUP($A21,Atletas!$J:$P,4,FALSE)=0,"",VLOOKUP($A21,Atletas!$J:$P,4,FALSE)),"")</f>
        <v/>
      </c>
      <c r="C21" s="90" t="str">
        <f>IFERROR(IF(VLOOKUP($A21,Atletas!$J:$P,5,FALSE)=0,"",VLOOKUP($A21,Atletas!$J:$P,5,FALSE)),"")</f>
        <v/>
      </c>
      <c r="D21" s="86" t="str">
        <f>IFERROR(IF(VLOOKUP($A21,Atletas!$J:$P,2,FALSE)=0,"",VLOOKUP($A21,Atletas!$J:$P,2,FALSE)),"")</f>
        <v/>
      </c>
      <c r="E21" s="81"/>
      <c r="F21" s="88">
        <f>IFERROR(HLOOKUP($B$2,Tab_Din_listagem!$A$2:$SY$333,45,0),"")</f>
        <v>0</v>
      </c>
      <c r="G21" s="89" t="str">
        <f>IFERROR(IF(VLOOKUP($F21,Atletas!$J:$P,4,FALSE)=0,"",VLOOKUP($F21,Atletas!$J:$P,4,FALSE)),"")</f>
        <v/>
      </c>
      <c r="H21" s="90" t="str">
        <f>IFERROR(IF(VLOOKUP($F21,Atletas!$J:$P,5,FALSE)=0,"",VLOOKUP($F21,Atletas!$J:$P,5,FALSE)),"")</f>
        <v/>
      </c>
      <c r="I21" s="86" t="str">
        <f>IFERROR(IF(VLOOKUP($F21,Atletas!$J:$P,2,FALSE)=0,"",VLOOKUP($F21,Atletas!$J:$P,2,FALSE)),"")</f>
        <v/>
      </c>
      <c r="J21" s="95"/>
      <c r="K21" s="95"/>
      <c r="L21" s="119" t="s">
        <v>338</v>
      </c>
      <c r="M21" s="120" t="s">
        <v>170</v>
      </c>
      <c r="N21" s="120" t="s">
        <v>1671</v>
      </c>
    </row>
    <row r="22" spans="1:14" ht="17" customHeight="1">
      <c r="A22" s="88">
        <f>IFERROR(HLOOKUP($B$2,Tab_Din_listagem!$A$2:$SY$333,21,0),"")</f>
        <v>0</v>
      </c>
      <c r="B22" s="89" t="str">
        <f>IFERROR(IF(VLOOKUP($A22,Atletas!$J:$P,4,FALSE)=0,"",VLOOKUP($A22,Atletas!$J:$P,4,FALSE)),"")</f>
        <v/>
      </c>
      <c r="C22" s="90" t="str">
        <f>IFERROR(IF(VLOOKUP($A22,Atletas!$J:$P,5,FALSE)=0,"",VLOOKUP($A22,Atletas!$J:$P,5,FALSE)),"")</f>
        <v/>
      </c>
      <c r="D22" s="86" t="str">
        <f>IFERROR(IF(VLOOKUP($A22,Atletas!$J:$P,2,FALSE)=0,"",VLOOKUP($A22,Atletas!$J:$P,2,FALSE)),"")</f>
        <v/>
      </c>
      <c r="E22" s="81"/>
      <c r="F22" s="88">
        <f>IFERROR(HLOOKUP($B$2,Tab_Din_listagem!$A$2:$SY$333,46,0),"")</f>
        <v>0</v>
      </c>
      <c r="G22" s="89" t="str">
        <f>IFERROR(IF(VLOOKUP($F22,Atletas!$J:$P,4,FALSE)=0,"",VLOOKUP($F22,Atletas!$J:$P,4,FALSE)),"")</f>
        <v/>
      </c>
      <c r="H22" s="90" t="str">
        <f>IFERROR(IF(VLOOKUP($F22,Atletas!$J:$P,5,FALSE)=0,"",VLOOKUP($F22,Atletas!$J:$P,5,FALSE)),"")</f>
        <v/>
      </c>
      <c r="I22" s="86" t="str">
        <f>IFERROR(IF(VLOOKUP($F22,Atletas!$J:$P,2,FALSE)=0,"",VLOOKUP($F22,Atletas!$J:$P,2,FALSE)),"")</f>
        <v/>
      </c>
      <c r="J22" s="95"/>
      <c r="K22" s="95"/>
      <c r="L22" s="119" t="s">
        <v>339</v>
      </c>
      <c r="M22" s="120" t="s">
        <v>894</v>
      </c>
      <c r="N22" s="120" t="s">
        <v>1672</v>
      </c>
    </row>
    <row r="23" spans="1:14" ht="17" customHeight="1">
      <c r="A23" s="88">
        <f>IFERROR(HLOOKUP($B$2,Tab_Din_listagem!$A$2:$SY$333,22,0),"")</f>
        <v>0</v>
      </c>
      <c r="B23" s="89" t="str">
        <f>IFERROR(IF(VLOOKUP($A23,Atletas!$J:$P,4,FALSE)=0,"",VLOOKUP($A23,Atletas!$J:$P,4,FALSE)),"")</f>
        <v/>
      </c>
      <c r="C23" s="90" t="str">
        <f>IFERROR(IF(VLOOKUP($A23,Atletas!$J:$P,5,FALSE)=0,"",VLOOKUP($A23,Atletas!$J:$P,5,FALSE)),"")</f>
        <v/>
      </c>
      <c r="D23" s="86" t="str">
        <f>IFERROR(IF(VLOOKUP($A23,Atletas!$J:$P,2,FALSE)=0,"",VLOOKUP($A23,Atletas!$J:$P,2,FALSE)),"")</f>
        <v/>
      </c>
      <c r="E23" s="81"/>
      <c r="F23" s="88">
        <f>IFERROR(HLOOKUP($B$2,Tab_Din_listagem!$A$2:$SY$333,47,0),"")</f>
        <v>0</v>
      </c>
      <c r="G23" s="89" t="str">
        <f>IFERROR(IF(VLOOKUP($F23,Atletas!$J:$P,4,FALSE)=0,"",VLOOKUP($F23,Atletas!$J:$P,4,FALSE)),"")</f>
        <v/>
      </c>
      <c r="H23" s="90" t="str">
        <f>IFERROR(IF(VLOOKUP($F23,Atletas!$J:$P,5,FALSE)=0,"",VLOOKUP($F23,Atletas!$J:$P,5,FALSE)),"")</f>
        <v/>
      </c>
      <c r="I23" s="86" t="str">
        <f>IFERROR(IF(VLOOKUP($F23,Atletas!$J:$P,2,FALSE)=0,"",VLOOKUP($F23,Atletas!$J:$P,2,FALSE)),"")</f>
        <v/>
      </c>
      <c r="J23" s="95"/>
      <c r="K23" s="95"/>
      <c r="L23" s="119" t="s">
        <v>340</v>
      </c>
      <c r="M23" s="120" t="s">
        <v>437</v>
      </c>
      <c r="N23" s="120" t="s">
        <v>1673</v>
      </c>
    </row>
    <row r="24" spans="1:14" ht="17" customHeight="1">
      <c r="A24" s="88">
        <f>IFERROR(HLOOKUP($B$2,Tab_Din_listagem!$A$2:$SY$333,23,0),"")</f>
        <v>0</v>
      </c>
      <c r="B24" s="89" t="str">
        <f>IFERROR(IF(VLOOKUP($A24,Atletas!$J:$P,4,FALSE)=0,"",VLOOKUP($A24,Atletas!$J:$P,4,FALSE)),"")</f>
        <v/>
      </c>
      <c r="C24" s="90" t="str">
        <f>IFERROR(IF(VLOOKUP($A24,Atletas!$J:$P,5,FALSE)=0,"",VLOOKUP($A24,Atletas!$J:$P,5,FALSE)),"")</f>
        <v/>
      </c>
      <c r="D24" s="86" t="str">
        <f>IFERROR(IF(VLOOKUP($A24,Atletas!$J:$P,2,FALSE)=0,"",VLOOKUP($A24,Atletas!$J:$P,2,FALSE)),"")</f>
        <v/>
      </c>
      <c r="E24" s="81"/>
      <c r="F24" s="88">
        <f>IFERROR(HLOOKUP($B$2,Tab_Din_listagem!$A$2:$SY$333,48,0),"")</f>
        <v>0</v>
      </c>
      <c r="G24" s="89" t="str">
        <f>IFERROR(IF(VLOOKUP($F24,Atletas!$J:$P,4,FALSE)=0,"",VLOOKUP($F24,Atletas!$J:$P,4,FALSE)),"")</f>
        <v/>
      </c>
      <c r="H24" s="90" t="str">
        <f>IFERROR(IF(VLOOKUP($F24,Atletas!$J:$P,5,FALSE)=0,"",VLOOKUP($F24,Atletas!$J:$P,5,FALSE)),"")</f>
        <v/>
      </c>
      <c r="I24" s="86" t="str">
        <f>IFERROR(IF(VLOOKUP($F24,Atletas!$J:$P,2,FALSE)=0,"",VLOOKUP($F24,Atletas!$J:$P,2,FALSE)),"")</f>
        <v/>
      </c>
      <c r="J24" s="95"/>
      <c r="K24" s="95"/>
      <c r="L24" s="119" t="s">
        <v>341</v>
      </c>
      <c r="M24" s="120" t="s">
        <v>510</v>
      </c>
      <c r="N24" s="120" t="s">
        <v>1674</v>
      </c>
    </row>
    <row r="25" spans="1:14" ht="17" customHeight="1">
      <c r="A25" s="88">
        <f>IFERROR(HLOOKUP($B$2,Tab_Din_listagem!$A$2:$SY$333,24,0),"")</f>
        <v>0</v>
      </c>
      <c r="B25" s="89" t="str">
        <f>IFERROR(IF(VLOOKUP($A25,Atletas!$J:$P,4,FALSE)=0,"",VLOOKUP($A25,Atletas!$J:$P,4,FALSE)),"")</f>
        <v/>
      </c>
      <c r="C25" s="90" t="str">
        <f>IFERROR(IF(VLOOKUP($A25,Atletas!$J:$P,5,FALSE)=0,"",VLOOKUP($A25,Atletas!$J:$P,5,FALSE)),"")</f>
        <v/>
      </c>
      <c r="D25" s="86" t="str">
        <f>IFERROR(IF(VLOOKUP($A25,Atletas!$J:$P,2,FALSE)=0,"",VLOOKUP($A25,Atletas!$J:$P,2,FALSE)),"")</f>
        <v/>
      </c>
      <c r="E25" s="81"/>
      <c r="F25" s="88">
        <f>IFERROR(HLOOKUP($B$2,Tab_Din_listagem!$A$2:$SY$333,49,0),"")</f>
        <v>0</v>
      </c>
      <c r="G25" s="89" t="str">
        <f>IFERROR(IF(VLOOKUP($F25,Atletas!$J:$P,4,FALSE)=0,"",VLOOKUP($F25,Atletas!$J:$P,4,FALSE)),"")</f>
        <v/>
      </c>
      <c r="H25" s="90" t="str">
        <f>IFERROR(IF(VLOOKUP($F25,Atletas!$J:$P,5,FALSE)=0,"",VLOOKUP($F25,Atletas!$J:$P,5,FALSE)),"")</f>
        <v/>
      </c>
      <c r="I25" s="86" t="str">
        <f>IFERROR(IF(VLOOKUP($F25,Atletas!$J:$P,2,FALSE)=0,"",VLOOKUP($F25,Atletas!$J:$P,2,FALSE)),"")</f>
        <v/>
      </c>
      <c r="J25" s="95"/>
      <c r="K25" s="95"/>
      <c r="L25" s="119" t="s">
        <v>342</v>
      </c>
      <c r="M25" s="120" t="s">
        <v>171</v>
      </c>
      <c r="N25" s="120" t="s">
        <v>1675</v>
      </c>
    </row>
    <row r="26" spans="1:14" ht="17" customHeight="1">
      <c r="A26" s="88">
        <f>IFERROR(HLOOKUP($B$2,Tab_Din_listagem!$A$2:$SY$333,25,0),"")</f>
        <v>0</v>
      </c>
      <c r="B26" s="89" t="str">
        <f>IFERROR(IF(VLOOKUP($A26,Atletas!$J:$P,4,FALSE)=0,"",VLOOKUP($A26,Atletas!$J:$P,4,FALSE)),"")</f>
        <v/>
      </c>
      <c r="C26" s="90" t="str">
        <f>IFERROR(IF(VLOOKUP($A26,Atletas!$J:$P,5,FALSE)=0,"",VLOOKUP($A26,Atletas!$J:$P,5,FALSE)),"")</f>
        <v/>
      </c>
      <c r="D26" s="86" t="str">
        <f>IFERROR(IF(VLOOKUP($A26,Atletas!$J:$P,2,FALSE)=0,"",VLOOKUP($A26,Atletas!$J:$P,2,FALSE)),"")</f>
        <v/>
      </c>
      <c r="E26" s="81"/>
      <c r="F26" s="88">
        <f>IFERROR(HLOOKUP($B$2,Tab_Din_listagem!$A$2:$SY$333,50,0),"")</f>
        <v>0</v>
      </c>
      <c r="G26" s="89" t="str">
        <f>IFERROR(IF(VLOOKUP($F26,Atletas!$J:$P,4,FALSE)=0,"",VLOOKUP($F26,Atletas!$J:$P,4,FALSE)),"")</f>
        <v/>
      </c>
      <c r="H26" s="90" t="str">
        <f>IFERROR(IF(VLOOKUP($F26,Atletas!$J:$P,5,FALSE)=0,"",VLOOKUP($F26,Atletas!$J:$P,5,FALSE)),"")</f>
        <v/>
      </c>
      <c r="I26" s="86" t="str">
        <f>IFERROR(IF(VLOOKUP($F26,Atletas!$J:$P,2,FALSE)=0,"",VLOOKUP($F26,Atletas!$J:$P,2,FALSE)),"")</f>
        <v/>
      </c>
      <c r="J26" s="95"/>
      <c r="K26" s="95"/>
      <c r="L26" s="119" t="s">
        <v>343</v>
      </c>
      <c r="M26" s="120" t="s">
        <v>1237</v>
      </c>
      <c r="N26" s="120" t="s">
        <v>1676</v>
      </c>
    </row>
    <row r="27" spans="1:14" ht="17" customHeight="1">
      <c r="A27" s="88">
        <f>IFERROR(HLOOKUP($B$2,Tab_Din_listagem!$A$2:$SY$333,26,0),"")</f>
        <v>0</v>
      </c>
      <c r="B27" s="89" t="str">
        <f>IFERROR(IF(VLOOKUP($A27,Atletas!$J:$P,4,FALSE)=0,"",VLOOKUP($A27,Atletas!$J:$P,4,FALSE)),"")</f>
        <v/>
      </c>
      <c r="C27" s="90" t="str">
        <f>IFERROR(IF(VLOOKUP($A27,Atletas!$J:$P,5,FALSE)=0,"",VLOOKUP($A27,Atletas!$J:$P,5,FALSE)),"")</f>
        <v/>
      </c>
      <c r="D27" s="86" t="str">
        <f>IFERROR(IF(VLOOKUP($A27,Atletas!$J:$P,2,FALSE)=0,"",VLOOKUP($A27,Atletas!$J:$P,2,FALSE)),"")</f>
        <v/>
      </c>
      <c r="E27" s="81"/>
      <c r="F27" s="88">
        <f>IFERROR(HLOOKUP($B$2,Tab_Din_listagem!$A$2:$SY$333,51,0),"")</f>
        <v>0</v>
      </c>
      <c r="G27" s="89" t="str">
        <f>IFERROR(IF(VLOOKUP($F27,Atletas!$J:$P,4,FALSE)=0,"",VLOOKUP($F27,Atletas!$J:$P,4,FALSE)),"")</f>
        <v/>
      </c>
      <c r="H27" s="90" t="str">
        <f>IFERROR(IF(VLOOKUP($F27,Atletas!$J:$P,5,FALSE)=0,"",VLOOKUP($F27,Atletas!$J:$P,5,FALSE)),"")</f>
        <v/>
      </c>
      <c r="I27" s="86" t="str">
        <f>IFERROR(IF(VLOOKUP($F27,Atletas!$J:$P,2,FALSE)=0,"",VLOOKUP($F27,Atletas!$J:$P,2,FALSE)),"")</f>
        <v/>
      </c>
      <c r="J27" s="95"/>
      <c r="K27" s="95"/>
      <c r="L27" s="119" t="s">
        <v>344</v>
      </c>
      <c r="M27" s="120" t="s">
        <v>1238</v>
      </c>
      <c r="N27" s="120" t="s">
        <v>1677</v>
      </c>
    </row>
    <row r="28" spans="1:14" ht="17" customHeight="1">
      <c r="A28" s="88">
        <f>IFERROR(HLOOKUP($B$2,Tab_Din_listagem!$A$2:$SY$333,27,0),"")</f>
        <v>0</v>
      </c>
      <c r="B28" s="89" t="str">
        <f>IFERROR(IF(VLOOKUP($A28,Atletas!$J:$P,4,FALSE)=0,"",VLOOKUP($A28,Atletas!$J:$P,4,FALSE)),"")</f>
        <v/>
      </c>
      <c r="C28" s="90" t="str">
        <f>IFERROR(IF(VLOOKUP($A28,Atletas!$J:$P,5,FALSE)=0,"",VLOOKUP($A28,Atletas!$J:$P,5,FALSE)),"")</f>
        <v/>
      </c>
      <c r="D28" s="86" t="str">
        <f>IFERROR(IF(VLOOKUP($A28,Atletas!$J:$P,2,FALSE)=0,"",VLOOKUP($A28,Atletas!$J:$P,2,FALSE)),"")</f>
        <v/>
      </c>
      <c r="E28" s="81"/>
      <c r="F28" s="88">
        <f>IFERROR(HLOOKUP($B$2,Tab_Din_listagem!$A$2:$SY$333,52,0),"")</f>
        <v>0</v>
      </c>
      <c r="G28" s="89" t="str">
        <f>IFERROR(IF(VLOOKUP($F28,Atletas!$J:$P,4,FALSE)=0,"",VLOOKUP($F28,Atletas!$J:$P,4,FALSE)),"")</f>
        <v/>
      </c>
      <c r="H28" s="90" t="str">
        <f>IFERROR(IF(VLOOKUP($F28,Atletas!$J:$P,5,FALSE)=0,"",VLOOKUP($F28,Atletas!$J:$P,5,FALSE)),"")</f>
        <v/>
      </c>
      <c r="I28" s="86" t="str">
        <f>IFERROR(IF(VLOOKUP($F28,Atletas!$J:$P,2,FALSE)=0,"",VLOOKUP($F28,Atletas!$J:$P,2,FALSE)),"")</f>
        <v/>
      </c>
      <c r="J28" s="95"/>
      <c r="K28" s="95"/>
      <c r="L28" s="119" t="s">
        <v>345</v>
      </c>
      <c r="M28" s="120" t="s">
        <v>153</v>
      </c>
      <c r="N28" s="120" t="s">
        <v>1678</v>
      </c>
    </row>
    <row r="29" spans="1:14" ht="17" customHeight="1">
      <c r="A29" s="91">
        <f>IFERROR(HLOOKUP($B$2,Tab_Din_listagem!$A$2:$SY$333,28,0),"")</f>
        <v>0</v>
      </c>
      <c r="B29" s="92" t="str">
        <f>IFERROR(IF(VLOOKUP($A29,Atletas!$J:$P,4,FALSE)=0,"",VLOOKUP($A29,Atletas!$J:$P,4,FALSE)),"")</f>
        <v/>
      </c>
      <c r="C29" s="93" t="str">
        <f>IFERROR(IF(VLOOKUP($A29,Atletas!$J:$P,5,FALSE)=0,"",VLOOKUP($A29,Atletas!$J:$P,5,FALSE)),"")</f>
        <v/>
      </c>
      <c r="D29" s="94" t="str">
        <f>IFERROR(IF(VLOOKUP($A29,Atletas!$J:$P,2,FALSE)=0,"",VLOOKUP($A29,Atletas!$J:$P,2,FALSE)),"")</f>
        <v/>
      </c>
      <c r="E29" s="99"/>
      <c r="F29" s="91">
        <f>IFERROR(HLOOKUP($B$2,Tab_Din_listagem!$A$2:$SY$333,53,0),"")</f>
        <v>0</v>
      </c>
      <c r="G29" s="92" t="str">
        <f>IFERROR(IF(VLOOKUP($F29,Atletas!$J:$P,4,FALSE)=0,"",VLOOKUP($F29,Atletas!$J:$P,4,FALSE)),"")</f>
        <v/>
      </c>
      <c r="H29" s="93" t="str">
        <f>IFERROR(IF(VLOOKUP($F29,Atletas!$J:$P,5,FALSE)=0,"",VLOOKUP($F29,Atletas!$J:$P,5,FALSE)),"")</f>
        <v/>
      </c>
      <c r="I29" s="94" t="str">
        <f>IFERROR(IF(VLOOKUP($F29,Atletas!$J:$P,2,FALSE)=0,"",VLOOKUP($F29,Atletas!$J:$P,2,FALSE)),"")</f>
        <v/>
      </c>
      <c r="J29" s="95"/>
      <c r="K29" s="95"/>
      <c r="L29" s="119" t="s">
        <v>346</v>
      </c>
      <c r="M29" s="120" t="s">
        <v>531</v>
      </c>
      <c r="N29" s="120" t="s">
        <v>1679</v>
      </c>
    </row>
    <row r="30" spans="1:14" ht="17" customHeight="1">
      <c r="A30" s="88">
        <f>IFERROR(HLOOKUP($B$2,Tab_Din_listagem!$A$2:$SY$333,54,0),"")</f>
        <v>0</v>
      </c>
      <c r="B30" s="89" t="str">
        <f>IFERROR(IF(VLOOKUP($A30,Atletas!$J:$P,4,FALSE)=0,"",VLOOKUP($A30,Atletas!$J:$P,4,FALSE)),"")</f>
        <v/>
      </c>
      <c r="C30" s="90" t="str">
        <f>IFERROR(IF(VLOOKUP($A30,Atletas!$J:$P,5,FALSE)=0,"",VLOOKUP($A30,Atletas!$J:$P,5,FALSE)),"")</f>
        <v/>
      </c>
      <c r="D30" s="86" t="str">
        <f>IFERROR(IF(VLOOKUP($A30,Atletas!$J:$P,2,FALSE)=0,"",VLOOKUP($A30,Atletas!$J:$P,2,FALSE)),"")</f>
        <v/>
      </c>
      <c r="E30" s="81"/>
      <c r="F30" s="88">
        <f>IFERROR(HLOOKUP($B$2,Tab_Din_listagem!$A$2:$SY$333,79,0),"")</f>
        <v>0</v>
      </c>
      <c r="G30" s="89" t="str">
        <f>IFERROR(IF(VLOOKUP($F30,Atletas!$J:$P,4,FALSE)=0,"",VLOOKUP($F30,Atletas!$J:$P,4,FALSE)),"")</f>
        <v/>
      </c>
      <c r="H30" s="90" t="str">
        <f>IFERROR(IF(VLOOKUP($F30,Atletas!$J:$P,5,FALSE)=0,"",VLOOKUP($F30,Atletas!$J:$P,5,FALSE)),"")</f>
        <v/>
      </c>
      <c r="I30" s="86" t="str">
        <f>IFERROR(IF(VLOOKUP($F30,Atletas!$J:$P,2,FALSE)=0,"",VLOOKUP($F30,Atletas!$J:$P,2,FALSE)),"")</f>
        <v/>
      </c>
      <c r="J30" s="95"/>
      <c r="K30" s="95"/>
      <c r="L30" s="119" t="s">
        <v>347</v>
      </c>
      <c r="M30" s="120" t="s">
        <v>1239</v>
      </c>
      <c r="N30" s="120" t="s">
        <v>1680</v>
      </c>
    </row>
    <row r="31" spans="1:14" ht="17" customHeight="1">
      <c r="A31" s="88">
        <f>IFERROR(HLOOKUP($B$2,Tab_Din_listagem!$A$2:$SY$333,55,0),"")</f>
        <v>0</v>
      </c>
      <c r="B31" s="89" t="str">
        <f>IFERROR(IF(VLOOKUP($A31,Atletas!$J:$P,4,FALSE)=0,"",VLOOKUP($A31,Atletas!$J:$P,4,FALSE)),"")</f>
        <v/>
      </c>
      <c r="C31" s="90" t="str">
        <f>IFERROR(IF(VLOOKUP($A31,Atletas!$J:$P,5,FALSE)=0,"",VLOOKUP($A31,Atletas!$J:$P,5,FALSE)),"")</f>
        <v/>
      </c>
      <c r="D31" s="86" t="str">
        <f>IFERROR(IF(VLOOKUP($A31,Atletas!$J:$P,2,FALSE)=0,"",VLOOKUP($A31,Atletas!$J:$P,2,FALSE)),"")</f>
        <v/>
      </c>
      <c r="E31" s="81"/>
      <c r="F31" s="88">
        <f>IFERROR(HLOOKUP($B$2,Tab_Din_listagem!$A$2:$SY$333,80,0),"")</f>
        <v>0</v>
      </c>
      <c r="G31" s="89" t="str">
        <f>IFERROR(IF(VLOOKUP($F31,Atletas!$J:$P,4,FALSE)=0,"",VLOOKUP($F31,Atletas!$J:$P,4,FALSE)),"")</f>
        <v/>
      </c>
      <c r="H31" s="90" t="str">
        <f>IFERROR(IF(VLOOKUP($F31,Atletas!$J:$P,5,FALSE)=0,"",VLOOKUP($F31,Atletas!$J:$P,5,FALSE)),"")</f>
        <v/>
      </c>
      <c r="I31" s="86" t="str">
        <f>IFERROR(IF(VLOOKUP($F31,Atletas!$J:$P,2,FALSE)=0,"",VLOOKUP($F31,Atletas!$J:$P,2,FALSE)),"")</f>
        <v/>
      </c>
      <c r="J31" s="95"/>
      <c r="K31" s="95"/>
      <c r="L31" s="119" t="s">
        <v>348</v>
      </c>
      <c r="M31" s="120" t="s">
        <v>545</v>
      </c>
      <c r="N31" s="120" t="s">
        <v>1681</v>
      </c>
    </row>
    <row r="32" spans="1:14" ht="17" customHeight="1">
      <c r="A32" s="88">
        <f>IFERROR(HLOOKUP($B$2,Tab_Din_listagem!$A$2:$SY$333,56,0),"")</f>
        <v>0</v>
      </c>
      <c r="B32" s="89" t="str">
        <f>IFERROR(IF(VLOOKUP($A32,Atletas!$J:$P,4,FALSE)=0,"",VLOOKUP($A32,Atletas!$J:$P,4,FALSE)),"")</f>
        <v/>
      </c>
      <c r="C32" s="90" t="str">
        <f>IFERROR(IF(VLOOKUP($A32,Atletas!$J:$P,5,FALSE)=0,"",VLOOKUP($A32,Atletas!$J:$P,5,FALSE)),"")</f>
        <v/>
      </c>
      <c r="D32" s="86" t="str">
        <f>IFERROR(IF(VLOOKUP($A32,Atletas!$J:$P,2,FALSE)=0,"",VLOOKUP($A32,Atletas!$J:$P,2,FALSE)),"")</f>
        <v/>
      </c>
      <c r="E32" s="81"/>
      <c r="F32" s="88">
        <f>IFERROR(HLOOKUP($B$2,Tab_Din_listagem!$A$2:$SY$333,81,0),"")</f>
        <v>0</v>
      </c>
      <c r="G32" s="89" t="str">
        <f>IFERROR(IF(VLOOKUP($F32,Atletas!$J:$P,4,FALSE)=0,"",VLOOKUP($F32,Atletas!$J:$P,4,FALSE)),"")</f>
        <v/>
      </c>
      <c r="H32" s="90" t="str">
        <f>IFERROR(IF(VLOOKUP($F32,Atletas!$J:$P,5,FALSE)=0,"",VLOOKUP($F32,Atletas!$J:$P,5,FALSE)),"")</f>
        <v/>
      </c>
      <c r="I32" s="86" t="str">
        <f>IFERROR(IF(VLOOKUP($F32,Atletas!$J:$P,2,FALSE)=0,"",VLOOKUP($F32,Atletas!$J:$P,2,FALSE)),"")</f>
        <v/>
      </c>
      <c r="J32" s="95"/>
      <c r="K32" s="95"/>
      <c r="L32" s="119" t="s">
        <v>349</v>
      </c>
      <c r="M32" s="120" t="s">
        <v>1069</v>
      </c>
      <c r="N32" s="120" t="s">
        <v>1682</v>
      </c>
    </row>
    <row r="33" spans="1:14" ht="17" customHeight="1">
      <c r="A33" s="88">
        <f>IFERROR(HLOOKUP($B$2,Tab_Din_listagem!$A$2:$SY$333,57,0),"")</f>
        <v>0</v>
      </c>
      <c r="B33" s="89" t="str">
        <f>IFERROR(IF(VLOOKUP($A33,Atletas!$J:$P,4,FALSE)=0,"",VLOOKUP($A33,Atletas!$J:$P,4,FALSE)),"")</f>
        <v/>
      </c>
      <c r="C33" s="90" t="str">
        <f>IFERROR(IF(VLOOKUP($A33,Atletas!$J:$P,5,FALSE)=0,"",VLOOKUP($A33,Atletas!$J:$P,5,FALSE)),"")</f>
        <v/>
      </c>
      <c r="D33" s="86" t="str">
        <f>IFERROR(IF(VLOOKUP($A33,Atletas!$J:$P,2,FALSE)=0,"",VLOOKUP($A33,Atletas!$J:$P,2,FALSE)),"")</f>
        <v/>
      </c>
      <c r="E33" s="81"/>
      <c r="F33" s="88">
        <f>IFERROR(HLOOKUP($B$2,Tab_Din_listagem!$A$2:$SY$333,82,0),"")</f>
        <v>0</v>
      </c>
      <c r="G33" s="89" t="str">
        <f>IFERROR(IF(VLOOKUP($F33,Atletas!$J:$P,4,FALSE)=0,"",VLOOKUP($F33,Atletas!$J:$P,4,FALSE)),"")</f>
        <v/>
      </c>
      <c r="H33" s="90" t="str">
        <f>IFERROR(IF(VLOOKUP($F33,Atletas!$J:$P,5,FALSE)=0,"",VLOOKUP($F33,Atletas!$J:$P,5,FALSE)),"")</f>
        <v/>
      </c>
      <c r="I33" s="86" t="str">
        <f>IFERROR(IF(VLOOKUP($F33,Atletas!$J:$P,2,FALSE)=0,"",VLOOKUP($F33,Atletas!$J:$P,2,FALSE)),"")</f>
        <v/>
      </c>
      <c r="J33" s="95"/>
      <c r="K33" s="95"/>
      <c r="L33" s="119" t="s">
        <v>350</v>
      </c>
      <c r="M33" s="120" t="s">
        <v>736</v>
      </c>
      <c r="N33" s="120" t="s">
        <v>1683</v>
      </c>
    </row>
    <row r="34" spans="1:14" ht="17" customHeight="1">
      <c r="A34" s="88">
        <f>IFERROR(HLOOKUP($B$2,Tab_Din_listagem!$A$2:$SY$333,58,0),"")</f>
        <v>0</v>
      </c>
      <c r="B34" s="89" t="str">
        <f>IFERROR(IF(VLOOKUP($A34,Atletas!$J:$P,4,FALSE)=0,"",VLOOKUP($A34,Atletas!$J:$P,4,FALSE)),"")</f>
        <v/>
      </c>
      <c r="C34" s="90" t="str">
        <f>IFERROR(IF(VLOOKUP($A34,Atletas!$J:$P,5,FALSE)=0,"",VLOOKUP($A34,Atletas!$J:$P,5,FALSE)),"")</f>
        <v/>
      </c>
      <c r="D34" s="86" t="str">
        <f>IFERROR(IF(VLOOKUP($A34,Atletas!$J:$P,2,FALSE)=0,"",VLOOKUP($A34,Atletas!$J:$P,2,FALSE)),"")</f>
        <v/>
      </c>
      <c r="E34" s="81"/>
      <c r="F34" s="88">
        <f>IFERROR(HLOOKUP($B$2,Tab_Din_listagem!$A$2:$SY$333,83,0),"")</f>
        <v>0</v>
      </c>
      <c r="G34" s="89" t="str">
        <f>IFERROR(IF(VLOOKUP($F34,Atletas!$J:$P,4,FALSE)=0,"",VLOOKUP($F34,Atletas!$J:$P,4,FALSE)),"")</f>
        <v/>
      </c>
      <c r="H34" s="90" t="str">
        <f>IFERROR(IF(VLOOKUP($F34,Atletas!$J:$P,5,FALSE)=0,"",VLOOKUP($F34,Atletas!$J:$P,5,FALSE)),"")</f>
        <v/>
      </c>
      <c r="I34" s="86" t="str">
        <f>IFERROR(IF(VLOOKUP($F34,Atletas!$J:$P,2,FALSE)=0,"",VLOOKUP($F34,Atletas!$J:$P,2,FALSE)),"")</f>
        <v/>
      </c>
      <c r="J34" s="95"/>
      <c r="K34" s="95"/>
      <c r="L34" s="119" t="s">
        <v>351</v>
      </c>
      <c r="M34" s="120" t="s">
        <v>157</v>
      </c>
      <c r="N34" s="120" t="s">
        <v>1684</v>
      </c>
    </row>
    <row r="35" spans="1:14" ht="17" customHeight="1">
      <c r="A35" s="88">
        <f>IFERROR(HLOOKUP($B$2,Tab_Din_listagem!$A$2:$SY$333,59,0),"")</f>
        <v>0</v>
      </c>
      <c r="B35" s="89" t="str">
        <f>IFERROR(IF(VLOOKUP($A35,Atletas!$J:$P,4,FALSE)=0,"",VLOOKUP($A35,Atletas!$J:$P,4,FALSE)),"")</f>
        <v/>
      </c>
      <c r="C35" s="90" t="str">
        <f>IFERROR(IF(VLOOKUP($A35,Atletas!$J:$P,5,FALSE)=0,"",VLOOKUP($A35,Atletas!$J:$P,5,FALSE)),"")</f>
        <v/>
      </c>
      <c r="D35" s="86" t="str">
        <f>IFERROR(IF(VLOOKUP($A35,Atletas!$J:$P,2,FALSE)=0,"",VLOOKUP($A35,Atletas!$J:$P,2,FALSE)),"")</f>
        <v/>
      </c>
      <c r="E35" s="81"/>
      <c r="F35" s="88">
        <f>IFERROR(HLOOKUP($B$2,Tab_Din_listagem!$A$2:$SY$333,84,0),"")</f>
        <v>0</v>
      </c>
      <c r="G35" s="89" t="str">
        <f>IFERROR(IF(VLOOKUP($F35,Atletas!$J:$P,4,FALSE)=0,"",VLOOKUP($F35,Atletas!$J:$P,4,FALSE)),"")</f>
        <v/>
      </c>
      <c r="H35" s="90" t="str">
        <f>IFERROR(IF(VLOOKUP($F35,Atletas!$J:$P,5,FALSE)=0,"",VLOOKUP($F35,Atletas!$J:$P,5,FALSE)),"")</f>
        <v/>
      </c>
      <c r="I35" s="86" t="str">
        <f>IFERROR(IF(VLOOKUP($F35,Atletas!$J:$P,2,FALSE)=0,"",VLOOKUP($F35,Atletas!$J:$P,2,FALSE)),"")</f>
        <v/>
      </c>
      <c r="J35" s="95"/>
      <c r="K35" s="95"/>
      <c r="L35" s="119" t="s">
        <v>352</v>
      </c>
      <c r="M35" s="120" t="s">
        <v>169</v>
      </c>
      <c r="N35" s="120" t="s">
        <v>1685</v>
      </c>
    </row>
    <row r="36" spans="1:14" ht="17" customHeight="1">
      <c r="A36" s="88">
        <f>IFERROR(HLOOKUP($B$2,Tab_Din_listagem!$A$2:$SY$333,60,0),"")</f>
        <v>0</v>
      </c>
      <c r="B36" s="89" t="str">
        <f>IFERROR(IF(VLOOKUP($A36,Atletas!$J:$P,4,FALSE)=0,"",VLOOKUP($A36,Atletas!$J:$P,4,FALSE)),"")</f>
        <v/>
      </c>
      <c r="C36" s="90" t="str">
        <f>IFERROR(IF(VLOOKUP($A36,Atletas!$J:$P,5,FALSE)=0,"",VLOOKUP($A36,Atletas!$J:$P,5,FALSE)),"")</f>
        <v/>
      </c>
      <c r="D36" s="86" t="str">
        <f>IFERROR(IF(VLOOKUP($A36,Atletas!$J:$P,2,FALSE)=0,"",VLOOKUP($A36,Atletas!$J:$P,2,FALSE)),"")</f>
        <v/>
      </c>
      <c r="E36" s="81"/>
      <c r="F36" s="88">
        <f>IFERROR(HLOOKUP($B$2,Tab_Din_listagem!$A$2:$SY$333,85,0),"")</f>
        <v>0</v>
      </c>
      <c r="G36" s="89" t="str">
        <f>IFERROR(IF(VLOOKUP($F36,Atletas!$J:$P,4,FALSE)=0,"",VLOOKUP($F36,Atletas!$J:$P,4,FALSE)),"")</f>
        <v/>
      </c>
      <c r="H36" s="90" t="str">
        <f>IFERROR(IF(VLOOKUP($F36,Atletas!$J:$P,5,FALSE)=0,"",VLOOKUP($F36,Atletas!$J:$P,5,FALSE)),"")</f>
        <v/>
      </c>
      <c r="I36" s="86" t="str">
        <f>IFERROR(IF(VLOOKUP($F36,Atletas!$J:$P,2,FALSE)=0,"",VLOOKUP($F36,Atletas!$J:$P,2,FALSE)),"")</f>
        <v/>
      </c>
      <c r="J36" s="95"/>
      <c r="K36" s="95"/>
      <c r="L36" s="119" t="s">
        <v>353</v>
      </c>
      <c r="M36" s="120" t="s">
        <v>150</v>
      </c>
      <c r="N36" s="120" t="s">
        <v>1686</v>
      </c>
    </row>
    <row r="37" spans="1:14" ht="17" customHeight="1">
      <c r="A37" s="88">
        <f>IFERROR(HLOOKUP($B$2,Tab_Din_listagem!$A$2:$SY$333,61,0),"")</f>
        <v>0</v>
      </c>
      <c r="B37" s="89" t="str">
        <f>IFERROR(IF(VLOOKUP($A37,Atletas!$J:$P,4,FALSE)=0,"",VLOOKUP($A37,Atletas!$J:$P,4,FALSE)),"")</f>
        <v/>
      </c>
      <c r="C37" s="90" t="str">
        <f>IFERROR(IF(VLOOKUP($A37,Atletas!$J:$P,5,FALSE)=0,"",VLOOKUP($A37,Atletas!$J:$P,5,FALSE)),"")</f>
        <v/>
      </c>
      <c r="D37" s="86" t="str">
        <f>IFERROR(IF(VLOOKUP($A37,Atletas!$J:$P,2,FALSE)=0,"",VLOOKUP($A37,Atletas!$J:$P,2,FALSE)),"")</f>
        <v/>
      </c>
      <c r="E37" s="81"/>
      <c r="F37" s="88">
        <f>IFERROR(HLOOKUP($B$2,Tab_Din_listagem!$A$2:$SY$333,86,0),"")</f>
        <v>0</v>
      </c>
      <c r="G37" s="89" t="str">
        <f>IFERROR(IF(VLOOKUP($F37,Atletas!$J:$P,4,FALSE)=0,"",VLOOKUP($F37,Atletas!$J:$P,4,FALSE)),"")</f>
        <v/>
      </c>
      <c r="H37" s="90" t="str">
        <f>IFERROR(IF(VLOOKUP($F37,Atletas!$J:$P,5,FALSE)=0,"",VLOOKUP($F37,Atletas!$J:$P,5,FALSE)),"")</f>
        <v/>
      </c>
      <c r="I37" s="86" t="str">
        <f>IFERROR(IF(VLOOKUP($F37,Atletas!$J:$P,2,FALSE)=0,"",VLOOKUP($F37,Atletas!$J:$P,2,FALSE)),"")</f>
        <v/>
      </c>
      <c r="J37" s="95"/>
      <c r="K37" s="95"/>
      <c r="L37" s="119" t="s">
        <v>354</v>
      </c>
      <c r="M37" s="120" t="s">
        <v>508</v>
      </c>
      <c r="N37" s="120" t="s">
        <v>1687</v>
      </c>
    </row>
    <row r="38" spans="1:14" ht="17" customHeight="1">
      <c r="A38" s="88">
        <f>IFERROR(HLOOKUP($B$2,Tab_Din_listagem!$A$2:$SY$333,62,0),"")</f>
        <v>0</v>
      </c>
      <c r="B38" s="89" t="str">
        <f>IFERROR(IF(VLOOKUP($A38,Atletas!$J:$P,4,FALSE)=0,"",VLOOKUP($A38,Atletas!$J:$P,4,FALSE)),"")</f>
        <v/>
      </c>
      <c r="C38" s="90" t="str">
        <f>IFERROR(IF(VLOOKUP($A38,Atletas!$J:$P,5,FALSE)=0,"",VLOOKUP($A38,Atletas!$J:$P,5,FALSE)),"")</f>
        <v/>
      </c>
      <c r="D38" s="86" t="str">
        <f>IFERROR(IF(VLOOKUP($A38,Atletas!$J:$P,2,FALSE)=0,"",VLOOKUP($A38,Atletas!$J:$P,2,FALSE)),"")</f>
        <v/>
      </c>
      <c r="E38" s="81"/>
      <c r="F38" s="88">
        <f>IFERROR(HLOOKUP($B$2,Tab_Din_listagem!$A$2:$SY$333,87,0),"")</f>
        <v>0</v>
      </c>
      <c r="G38" s="89" t="str">
        <f>IFERROR(IF(VLOOKUP($F38,Atletas!$J:$P,4,FALSE)=0,"",VLOOKUP($F38,Atletas!$J:$P,4,FALSE)),"")</f>
        <v/>
      </c>
      <c r="H38" s="90" t="str">
        <f>IFERROR(IF(VLOOKUP($F38,Atletas!$J:$P,5,FALSE)=0,"",VLOOKUP($F38,Atletas!$J:$P,5,FALSE)),"")</f>
        <v/>
      </c>
      <c r="I38" s="86" t="str">
        <f>IFERROR(IF(VLOOKUP($F38,Atletas!$J:$P,2,FALSE)=0,"",VLOOKUP($F38,Atletas!$J:$P,2,FALSE)),"")</f>
        <v/>
      </c>
      <c r="J38" s="95"/>
      <c r="K38" s="95"/>
      <c r="L38" s="119" t="s">
        <v>355</v>
      </c>
      <c r="M38" s="120" t="s">
        <v>1688</v>
      </c>
      <c r="N38" s="120" t="s">
        <v>1689</v>
      </c>
    </row>
    <row r="39" spans="1:14" ht="17" customHeight="1">
      <c r="A39" s="88">
        <f>IFERROR(HLOOKUP($B$2,Tab_Din_listagem!$A$2:$SY$333,63,0),"")</f>
        <v>0</v>
      </c>
      <c r="B39" s="89" t="str">
        <f>IFERROR(IF(VLOOKUP($A39,Atletas!$J:$P,4,FALSE)=0,"",VLOOKUP($A39,Atletas!$J:$P,4,FALSE)),"")</f>
        <v/>
      </c>
      <c r="C39" s="90" t="str">
        <f>IFERROR(IF(VLOOKUP($A39,Atletas!$J:$P,5,FALSE)=0,"",VLOOKUP($A39,Atletas!$J:$P,5,FALSE)),"")</f>
        <v/>
      </c>
      <c r="D39" s="86" t="str">
        <f>IFERROR(IF(VLOOKUP($A39,Atletas!$J:$P,2,FALSE)=0,"",VLOOKUP($A39,Atletas!$J:$P,2,FALSE)),"")</f>
        <v/>
      </c>
      <c r="E39" s="81"/>
      <c r="F39" s="88">
        <f>IFERROR(HLOOKUP($B$2,Tab_Din_listagem!$A$2:$SY$333,88,0),"")</f>
        <v>0</v>
      </c>
      <c r="G39" s="89" t="str">
        <f>IFERROR(IF(VLOOKUP($F39,Atletas!$J:$P,4,FALSE)=0,"",VLOOKUP($F39,Atletas!$J:$P,4,FALSE)),"")</f>
        <v/>
      </c>
      <c r="H39" s="90" t="str">
        <f>IFERROR(IF(VLOOKUP($F39,Atletas!$J:$P,5,FALSE)=0,"",VLOOKUP($F39,Atletas!$J:$P,5,FALSE)),"")</f>
        <v/>
      </c>
      <c r="I39" s="86" t="str">
        <f>IFERROR(IF(VLOOKUP($F39,Atletas!$J:$P,2,FALSE)=0,"",VLOOKUP($F39,Atletas!$J:$P,2,FALSE)),"")</f>
        <v/>
      </c>
      <c r="J39" s="95"/>
      <c r="K39" s="95"/>
      <c r="L39" s="119" t="s">
        <v>356</v>
      </c>
      <c r="M39" s="120" t="s">
        <v>406</v>
      </c>
      <c r="N39" s="120" t="s">
        <v>1690</v>
      </c>
    </row>
    <row r="40" spans="1:14" ht="17" customHeight="1">
      <c r="A40" s="88">
        <f>IFERROR(HLOOKUP($B$2,Tab_Din_listagem!$A$2:$SY$333,64,0),"")</f>
        <v>0</v>
      </c>
      <c r="B40" s="89" t="str">
        <f>IFERROR(IF(VLOOKUP($A40,Atletas!$J:$P,4,FALSE)=0,"",VLOOKUP($A40,Atletas!$J:$P,4,FALSE)),"")</f>
        <v/>
      </c>
      <c r="C40" s="90" t="str">
        <f>IFERROR(IF(VLOOKUP($A40,Atletas!$J:$P,5,FALSE)=0,"",VLOOKUP($A40,Atletas!$J:$P,5,FALSE)),"")</f>
        <v/>
      </c>
      <c r="D40" s="86" t="str">
        <f>IFERROR(IF(VLOOKUP($A40,Atletas!$J:$P,2,FALSE)=0,"",VLOOKUP($A40,Atletas!$J:$P,2,FALSE)),"")</f>
        <v/>
      </c>
      <c r="E40" s="81"/>
      <c r="F40" s="88">
        <f>IFERROR(HLOOKUP($B$2,Tab_Din_listagem!$A$2:$SY$333,89,0),"")</f>
        <v>0</v>
      </c>
      <c r="G40" s="89" t="str">
        <f>IFERROR(IF(VLOOKUP($F40,Atletas!$J:$P,4,FALSE)=0,"",VLOOKUP($F40,Atletas!$J:$P,4,FALSE)),"")</f>
        <v/>
      </c>
      <c r="H40" s="90" t="str">
        <f>IFERROR(IF(VLOOKUP($F40,Atletas!$J:$P,5,FALSE)=0,"",VLOOKUP($F40,Atletas!$J:$P,5,FALSE)),"")</f>
        <v/>
      </c>
      <c r="I40" s="86" t="str">
        <f>IFERROR(IF(VLOOKUP($F40,Atletas!$J:$P,2,FALSE)=0,"",VLOOKUP($F40,Atletas!$J:$P,2,FALSE)),"")</f>
        <v/>
      </c>
      <c r="J40" s="95"/>
      <c r="K40" s="95"/>
      <c r="L40" s="119" t="s">
        <v>357</v>
      </c>
      <c r="M40" s="120" t="s">
        <v>1691</v>
      </c>
      <c r="N40" s="120" t="s">
        <v>1692</v>
      </c>
    </row>
    <row r="41" spans="1:14" ht="17" customHeight="1">
      <c r="A41" s="88">
        <f>IFERROR(HLOOKUP($B$2,Tab_Din_listagem!$A$2:$SY$333,65,0),"")</f>
        <v>0</v>
      </c>
      <c r="B41" s="89" t="str">
        <f>IFERROR(IF(VLOOKUP($A41,Atletas!$J:$P,4,FALSE)=0,"",VLOOKUP($A41,Atletas!$J:$P,4,FALSE)),"")</f>
        <v/>
      </c>
      <c r="C41" s="90" t="str">
        <f>IFERROR(IF(VLOOKUP($A41,Atletas!$J:$P,5,FALSE)=0,"",VLOOKUP($A41,Atletas!$J:$P,5,FALSE)),"")</f>
        <v/>
      </c>
      <c r="D41" s="86" t="str">
        <f>IFERROR(IF(VLOOKUP($A41,Atletas!$J:$P,2,FALSE)=0,"",VLOOKUP($A41,Atletas!$J:$P,2,FALSE)),"")</f>
        <v/>
      </c>
      <c r="E41" s="81"/>
      <c r="F41" s="88">
        <f>IFERROR(HLOOKUP($B$2,Tab_Din_listagem!$A$2:$SY$333,90,0),"")</f>
        <v>0</v>
      </c>
      <c r="G41" s="89" t="str">
        <f>IFERROR(IF(VLOOKUP($F41,Atletas!$J:$P,4,FALSE)=0,"",VLOOKUP($F41,Atletas!$J:$P,4,FALSE)),"")</f>
        <v/>
      </c>
      <c r="H41" s="90" t="str">
        <f>IFERROR(IF(VLOOKUP($F41,Atletas!$J:$P,5,FALSE)=0,"",VLOOKUP($F41,Atletas!$J:$P,5,FALSE)),"")</f>
        <v/>
      </c>
      <c r="I41" s="86" t="str">
        <f>IFERROR(IF(VLOOKUP($F41,Atletas!$J:$P,2,FALSE)=0,"",VLOOKUP($F41,Atletas!$J:$P,2,FALSE)),"")</f>
        <v/>
      </c>
      <c r="J41" s="95"/>
      <c r="K41" s="95"/>
      <c r="L41" s="119" t="s">
        <v>358</v>
      </c>
      <c r="M41" s="120" t="s">
        <v>161</v>
      </c>
      <c r="N41" s="120" t="s">
        <v>1693</v>
      </c>
    </row>
    <row r="42" spans="1:14" ht="17" customHeight="1">
      <c r="A42" s="88">
        <f>IFERROR(HLOOKUP($B$2,Tab_Din_listagem!$A$2:$SY$333,66,0),"")</f>
        <v>0</v>
      </c>
      <c r="B42" s="89" t="str">
        <f>IFERROR(IF(VLOOKUP($A42,Atletas!$J:$P,4,FALSE)=0,"",VLOOKUP($A42,Atletas!$J:$P,4,FALSE)),"")</f>
        <v/>
      </c>
      <c r="C42" s="90" t="str">
        <f>IFERROR(IF(VLOOKUP($A42,Atletas!$J:$P,5,FALSE)=0,"",VLOOKUP($A42,Atletas!$J:$P,5,FALSE)),"")</f>
        <v/>
      </c>
      <c r="D42" s="86" t="str">
        <f>IFERROR(IF(VLOOKUP($A42,Atletas!$J:$P,2,FALSE)=0,"",VLOOKUP($A42,Atletas!$J:$P,2,FALSE)),"")</f>
        <v/>
      </c>
      <c r="E42" s="81"/>
      <c r="F42" s="88">
        <f>IFERROR(HLOOKUP($B$2,Tab_Din_listagem!$A$2:$SY$333,91,0),"")</f>
        <v>0</v>
      </c>
      <c r="G42" s="89" t="str">
        <f>IFERROR(IF(VLOOKUP($F42,Atletas!$J:$P,4,FALSE)=0,"",VLOOKUP($F42,Atletas!$J:$P,4,FALSE)),"")</f>
        <v/>
      </c>
      <c r="H42" s="90" t="str">
        <f>IFERROR(IF(VLOOKUP($F42,Atletas!$J:$P,5,FALSE)=0,"",VLOOKUP($F42,Atletas!$J:$P,5,FALSE)),"")</f>
        <v/>
      </c>
      <c r="I42" s="86" t="str">
        <f>IFERROR(IF(VLOOKUP($F42,Atletas!$J:$P,2,FALSE)=0,"",VLOOKUP($F42,Atletas!$J:$P,2,FALSE)),"")</f>
        <v/>
      </c>
      <c r="J42" s="95"/>
      <c r="K42" s="95"/>
      <c r="L42" s="119" t="s">
        <v>359</v>
      </c>
      <c r="M42" s="120" t="s">
        <v>164</v>
      </c>
      <c r="N42" s="120" t="s">
        <v>1694</v>
      </c>
    </row>
    <row r="43" spans="1:14" ht="17" customHeight="1">
      <c r="A43" s="88">
        <f>IFERROR(HLOOKUP($B$2,Tab_Din_listagem!$A$2:$SY$333,67,0),"")</f>
        <v>0</v>
      </c>
      <c r="B43" s="89" t="str">
        <f>IFERROR(IF(VLOOKUP($A43,Atletas!$J:$P,4,FALSE)=0,"",VLOOKUP($A43,Atletas!$J:$P,4,FALSE)),"")</f>
        <v/>
      </c>
      <c r="C43" s="90" t="str">
        <f>IFERROR(IF(VLOOKUP($A43,Atletas!$J:$P,5,FALSE)=0,"",VLOOKUP($A43,Atletas!$J:$P,5,FALSE)),"")</f>
        <v/>
      </c>
      <c r="D43" s="86" t="str">
        <f>IFERROR(IF(VLOOKUP($A43,Atletas!$J:$P,2,FALSE)=0,"",VLOOKUP($A43,Atletas!$J:$P,2,FALSE)),"")</f>
        <v/>
      </c>
      <c r="E43" s="81"/>
      <c r="F43" s="88">
        <f>IFERROR(HLOOKUP($B$2,Tab_Din_listagem!$A$2:$SY$333,92,0),"")</f>
        <v>0</v>
      </c>
      <c r="G43" s="89" t="str">
        <f>IFERROR(IF(VLOOKUP($F43,Atletas!$J:$P,4,FALSE)=0,"",VLOOKUP($F43,Atletas!$J:$P,4,FALSE)),"")</f>
        <v/>
      </c>
      <c r="H43" s="90" t="str">
        <f>IFERROR(IF(VLOOKUP($F43,Atletas!$J:$P,5,FALSE)=0,"",VLOOKUP($F43,Atletas!$J:$P,5,FALSE)),"")</f>
        <v/>
      </c>
      <c r="I43" s="86" t="str">
        <f>IFERROR(IF(VLOOKUP($F43,Atletas!$J:$P,2,FALSE)=0,"",VLOOKUP($F43,Atletas!$J:$P,2,FALSE)),"")</f>
        <v/>
      </c>
      <c r="J43" s="95"/>
      <c r="K43" s="95"/>
      <c r="L43" s="119" t="s">
        <v>360</v>
      </c>
      <c r="M43" s="120" t="s">
        <v>166</v>
      </c>
      <c r="N43" s="120" t="s">
        <v>1695</v>
      </c>
    </row>
    <row r="44" spans="1:14" ht="17" customHeight="1">
      <c r="A44" s="88">
        <f>IFERROR(HLOOKUP($B$2,Tab_Din_listagem!$A$2:$SY$333,68,0),"")</f>
        <v>0</v>
      </c>
      <c r="B44" s="89" t="str">
        <f>IFERROR(IF(VLOOKUP($A44,Atletas!$J:$P,4,FALSE)=0,"",VLOOKUP($A44,Atletas!$J:$P,4,FALSE)),"")</f>
        <v/>
      </c>
      <c r="C44" s="90" t="str">
        <f>IFERROR(IF(VLOOKUP($A44,Atletas!$J:$P,5,FALSE)=0,"",VLOOKUP($A44,Atletas!$J:$P,5,FALSE)),"")</f>
        <v/>
      </c>
      <c r="D44" s="86" t="str">
        <f>IFERROR(IF(VLOOKUP($A44,Atletas!$J:$P,2,FALSE)=0,"",VLOOKUP($A44,Atletas!$J:$P,2,FALSE)),"")</f>
        <v/>
      </c>
      <c r="E44" s="81"/>
      <c r="F44" s="88">
        <f>IFERROR(HLOOKUP($B$2,Tab_Din_listagem!$A$2:$SY$333,93,0),"")</f>
        <v>0</v>
      </c>
      <c r="G44" s="89" t="str">
        <f>IFERROR(IF(VLOOKUP($F44,Atletas!$J:$P,4,FALSE)=0,"",VLOOKUP($F44,Atletas!$J:$P,4,FALSE)),"")</f>
        <v/>
      </c>
      <c r="H44" s="90" t="str">
        <f>IFERROR(IF(VLOOKUP($F44,Atletas!$J:$P,5,FALSE)=0,"",VLOOKUP($F44,Atletas!$J:$P,5,FALSE)),"")</f>
        <v/>
      </c>
      <c r="I44" s="86" t="str">
        <f>IFERROR(IF(VLOOKUP($F44,Atletas!$J:$P,2,FALSE)=0,"",VLOOKUP($F44,Atletas!$J:$P,2,FALSE)),"")</f>
        <v/>
      </c>
      <c r="J44" s="95"/>
      <c r="K44" s="95"/>
      <c r="L44" s="119" t="s">
        <v>361</v>
      </c>
      <c r="M44" s="120" t="s">
        <v>1079</v>
      </c>
      <c r="N44" s="120" t="s">
        <v>1696</v>
      </c>
    </row>
    <row r="45" spans="1:14" ht="17" customHeight="1">
      <c r="A45" s="88">
        <f>IFERROR(HLOOKUP($B$2,Tab_Din_listagem!$A$2:$SY$333,69,0),"")</f>
        <v>0</v>
      </c>
      <c r="B45" s="89" t="str">
        <f>IFERROR(IF(VLOOKUP($A45,Atletas!$J:$P,4,FALSE)=0,"",VLOOKUP($A45,Atletas!$J:$P,4,FALSE)),"")</f>
        <v/>
      </c>
      <c r="C45" s="90" t="str">
        <f>IFERROR(IF(VLOOKUP($A45,Atletas!$J:$P,5,FALSE)=0,"",VLOOKUP($A45,Atletas!$J:$P,5,FALSE)),"")</f>
        <v/>
      </c>
      <c r="D45" s="86" t="str">
        <f>IFERROR(IF(VLOOKUP($A45,Atletas!$J:$P,2,FALSE)=0,"",VLOOKUP($A45,Atletas!$J:$P,2,FALSE)),"")</f>
        <v/>
      </c>
      <c r="E45" s="81"/>
      <c r="F45" s="88">
        <f>IFERROR(HLOOKUP($B$2,Tab_Din_listagem!$A$2:$SY$333,94,0),"")</f>
        <v>0</v>
      </c>
      <c r="G45" s="89" t="str">
        <f>IFERROR(IF(VLOOKUP($F45,Atletas!$J:$P,4,FALSE)=0,"",VLOOKUP($F45,Atletas!$J:$P,4,FALSE)),"")</f>
        <v/>
      </c>
      <c r="H45" s="90" t="str">
        <f>IFERROR(IF(VLOOKUP($F45,Atletas!$J:$P,5,FALSE)=0,"",VLOOKUP($F45,Atletas!$J:$P,5,FALSE)),"")</f>
        <v/>
      </c>
      <c r="I45" s="86" t="str">
        <f>IFERROR(IF(VLOOKUP($F45,Atletas!$J:$P,2,FALSE)=0,"",VLOOKUP($F45,Atletas!$J:$P,2,FALSE)),"")</f>
        <v/>
      </c>
      <c r="J45" s="95"/>
      <c r="K45" s="95"/>
      <c r="L45" s="119" t="s">
        <v>362</v>
      </c>
      <c r="M45" s="120" t="s">
        <v>124</v>
      </c>
      <c r="N45" s="120" t="s">
        <v>1697</v>
      </c>
    </row>
    <row r="46" spans="1:14" ht="17" customHeight="1">
      <c r="A46" s="88">
        <f>IFERROR(HLOOKUP($B$2,Tab_Din_listagem!$A$2:$SY$333,70,0),"")</f>
        <v>0</v>
      </c>
      <c r="B46" s="89" t="str">
        <f>IFERROR(IF(VLOOKUP($A46,Atletas!$J:$P,4,FALSE)=0,"",VLOOKUP($A46,Atletas!$J:$P,4,FALSE)),"")</f>
        <v/>
      </c>
      <c r="C46" s="90" t="str">
        <f>IFERROR(IF(VLOOKUP($A46,Atletas!$J:$P,5,FALSE)=0,"",VLOOKUP($A46,Atletas!$J:$P,5,FALSE)),"")</f>
        <v/>
      </c>
      <c r="D46" s="86" t="str">
        <f>IFERROR(IF(VLOOKUP($A46,Atletas!$J:$P,2,FALSE)=0,"",VLOOKUP($A46,Atletas!$J:$P,2,FALSE)),"")</f>
        <v/>
      </c>
      <c r="E46" s="81"/>
      <c r="F46" s="88">
        <f>IFERROR(HLOOKUP($B$2,Tab_Din_listagem!$A$2:$SY$333,95,0),"")</f>
        <v>0</v>
      </c>
      <c r="G46" s="89" t="str">
        <f>IFERROR(IF(VLOOKUP($F46,Atletas!$J:$P,4,FALSE)=0,"",VLOOKUP($F46,Atletas!$J:$P,4,FALSE)),"")</f>
        <v/>
      </c>
      <c r="H46" s="90" t="str">
        <f>IFERROR(IF(VLOOKUP($F46,Atletas!$J:$P,5,FALSE)=0,"",VLOOKUP($F46,Atletas!$J:$P,5,FALSE)),"")</f>
        <v/>
      </c>
      <c r="I46" s="86" t="str">
        <f>IFERROR(IF(VLOOKUP($F46,Atletas!$J:$P,2,FALSE)=0,"",VLOOKUP($F46,Atletas!$J:$P,2,FALSE)),"")</f>
        <v/>
      </c>
      <c r="J46" s="95"/>
      <c r="K46" s="95"/>
      <c r="L46" s="119" t="s">
        <v>363</v>
      </c>
      <c r="M46" s="120" t="s">
        <v>1654</v>
      </c>
      <c r="N46" s="120" t="s">
        <v>1698</v>
      </c>
    </row>
    <row r="47" spans="1:14" ht="17" customHeight="1">
      <c r="A47" s="88">
        <f>IFERROR(HLOOKUP($B$2,Tab_Din_listagem!$A$2:$SY$333,71,0),"")</f>
        <v>0</v>
      </c>
      <c r="B47" s="89" t="str">
        <f>IFERROR(IF(VLOOKUP($A47,Atletas!$J:$P,4,FALSE)=0,"",VLOOKUP($A47,Atletas!$J:$P,4,FALSE)),"")</f>
        <v/>
      </c>
      <c r="C47" s="90" t="str">
        <f>IFERROR(IF(VLOOKUP($A47,Atletas!$J:$P,5,FALSE)=0,"",VLOOKUP($A47,Atletas!$J:$P,5,FALSE)),"")</f>
        <v/>
      </c>
      <c r="D47" s="86" t="str">
        <f>IFERROR(IF(VLOOKUP($A47,Atletas!$J:$P,2,FALSE)=0,"",VLOOKUP($A47,Atletas!$J:$P,2,FALSE)),"")</f>
        <v/>
      </c>
      <c r="E47" s="81"/>
      <c r="F47" s="88">
        <f>IFERROR(HLOOKUP($B$2,Tab_Din_listagem!$A$2:$SY$333,96,0),"")</f>
        <v>0</v>
      </c>
      <c r="G47" s="89" t="str">
        <f>IFERROR(IF(VLOOKUP($F47,Atletas!$J:$P,4,FALSE)=0,"",VLOOKUP($F47,Atletas!$J:$P,4,FALSE)),"")</f>
        <v/>
      </c>
      <c r="H47" s="90" t="str">
        <f>IFERROR(IF(VLOOKUP($F47,Atletas!$J:$P,5,FALSE)=0,"",VLOOKUP($F47,Atletas!$J:$P,5,FALSE)),"")</f>
        <v/>
      </c>
      <c r="I47" s="86" t="str">
        <f>IFERROR(IF(VLOOKUP($F47,Atletas!$J:$P,2,FALSE)=0,"",VLOOKUP($F47,Atletas!$J:$P,2,FALSE)),"")</f>
        <v/>
      </c>
      <c r="J47" s="95"/>
      <c r="K47" s="95"/>
      <c r="L47" s="119" t="s">
        <v>364</v>
      </c>
      <c r="M47" s="120" t="s">
        <v>959</v>
      </c>
      <c r="N47" s="120" t="s">
        <v>1699</v>
      </c>
    </row>
    <row r="48" spans="1:14" ht="17" customHeight="1">
      <c r="A48" s="88">
        <f>IFERROR(HLOOKUP($B$2,Tab_Din_listagem!$A$2:$SY$333,72,0),"")</f>
        <v>0</v>
      </c>
      <c r="B48" s="89" t="str">
        <f>IFERROR(IF(VLOOKUP($A48,Atletas!$J:$P,4,FALSE)=0,"",VLOOKUP($A48,Atletas!$J:$P,4,FALSE)),"")</f>
        <v/>
      </c>
      <c r="C48" s="90" t="str">
        <f>IFERROR(IF(VLOOKUP($A48,Atletas!$J:$P,5,FALSE)=0,"",VLOOKUP($A48,Atletas!$J:$P,5,FALSE)),"")</f>
        <v/>
      </c>
      <c r="D48" s="86" t="str">
        <f>IFERROR(IF(VLOOKUP($A48,Atletas!$J:$P,2,FALSE)=0,"",VLOOKUP($A48,Atletas!$J:$P,2,FALSE)),"")</f>
        <v/>
      </c>
      <c r="E48" s="81"/>
      <c r="F48" s="88">
        <f>IFERROR(HLOOKUP($B$2,Tab_Din_listagem!$A$2:$SY$333,97,0),"")</f>
        <v>0</v>
      </c>
      <c r="G48" s="89" t="str">
        <f>IFERROR(IF(VLOOKUP($F48,Atletas!$J:$P,4,FALSE)=0,"",VLOOKUP($F48,Atletas!$J:$P,4,FALSE)),"")</f>
        <v/>
      </c>
      <c r="H48" s="90" t="str">
        <f>IFERROR(IF(VLOOKUP($F48,Atletas!$J:$P,5,FALSE)=0,"",VLOOKUP($F48,Atletas!$J:$P,5,FALSE)),"")</f>
        <v/>
      </c>
      <c r="I48" s="86" t="str">
        <f>IFERROR(IF(VLOOKUP($F48,Atletas!$J:$P,2,FALSE)=0,"",VLOOKUP($F48,Atletas!$J:$P,2,FALSE)),"")</f>
        <v/>
      </c>
      <c r="J48" s="95"/>
      <c r="K48" s="95"/>
      <c r="L48" s="119" t="s">
        <v>365</v>
      </c>
      <c r="M48" s="120" t="s">
        <v>1240</v>
      </c>
      <c r="N48" s="120" t="s">
        <v>1700</v>
      </c>
    </row>
    <row r="49" spans="1:14" ht="17" customHeight="1">
      <c r="A49" s="88">
        <f>IFERROR(HLOOKUP($B$2,Tab_Din_listagem!$A$2:$SY$333,73,0),"")</f>
        <v>0</v>
      </c>
      <c r="B49" s="89" t="str">
        <f>IFERROR(IF(VLOOKUP($A49,Atletas!$J:$P,4,FALSE)=0,"",VLOOKUP($A49,Atletas!$J:$P,4,FALSE)),"")</f>
        <v/>
      </c>
      <c r="C49" s="90" t="str">
        <f>IFERROR(IF(VLOOKUP($A49,Atletas!$J:$P,5,FALSE)=0,"",VLOOKUP($A49,Atletas!$J:$P,5,FALSE)),"")</f>
        <v/>
      </c>
      <c r="D49" s="86" t="str">
        <f>IFERROR(IF(VLOOKUP($A49,Atletas!$J:$P,2,FALSE)=0,"",VLOOKUP($A49,Atletas!$J:$P,2,FALSE)),"")</f>
        <v/>
      </c>
      <c r="E49" s="81"/>
      <c r="F49" s="88">
        <f>IFERROR(HLOOKUP($B$2,Tab_Din_listagem!$A$2:$SY$333,98,0),"")</f>
        <v>0</v>
      </c>
      <c r="G49" s="89" t="str">
        <f>IFERROR(IF(VLOOKUP($F49,Atletas!$J:$P,4,FALSE)=0,"",VLOOKUP($F49,Atletas!$J:$P,4,FALSE)),"")</f>
        <v/>
      </c>
      <c r="H49" s="90" t="str">
        <f>IFERROR(IF(VLOOKUP($F49,Atletas!$J:$P,5,FALSE)=0,"",VLOOKUP($F49,Atletas!$J:$P,5,FALSE)),"")</f>
        <v/>
      </c>
      <c r="I49" s="86" t="str">
        <f>IFERROR(IF(VLOOKUP($F49,Atletas!$J:$P,2,FALSE)=0,"",VLOOKUP($F49,Atletas!$J:$P,2,FALSE)),"")</f>
        <v/>
      </c>
      <c r="J49" s="95"/>
      <c r="K49" s="95"/>
      <c r="L49" s="119" t="s">
        <v>366</v>
      </c>
      <c r="M49" s="120" t="s">
        <v>125</v>
      </c>
      <c r="N49" s="120" t="s">
        <v>1701</v>
      </c>
    </row>
    <row r="50" spans="1:14" ht="17" customHeight="1">
      <c r="A50" s="88">
        <f>IFERROR(HLOOKUP($B$2,Tab_Din_listagem!$A$2:$SY$333,74,0),"")</f>
        <v>0</v>
      </c>
      <c r="B50" s="89" t="str">
        <f>IFERROR(IF(VLOOKUP($A50,Atletas!$J:$P,4,FALSE)=0,"",VLOOKUP($A50,Atletas!$J:$P,4,FALSE)),"")</f>
        <v/>
      </c>
      <c r="C50" s="90" t="str">
        <f>IFERROR(IF(VLOOKUP($A50,Atletas!$J:$P,5,FALSE)=0,"",VLOOKUP($A50,Atletas!$J:$P,5,FALSE)),"")</f>
        <v/>
      </c>
      <c r="D50" s="86" t="str">
        <f>IFERROR(IF(VLOOKUP($A50,Atletas!$J:$P,2,FALSE)=0,"",VLOOKUP($A50,Atletas!$J:$P,2,FALSE)),"")</f>
        <v/>
      </c>
      <c r="E50" s="81"/>
      <c r="F50" s="88">
        <f>IFERROR(HLOOKUP($B$2,Tab_Din_listagem!$A$2:$SY$333,99,0),"")</f>
        <v>0</v>
      </c>
      <c r="G50" s="89" t="str">
        <f>IFERROR(IF(VLOOKUP($F50,Atletas!$J:$P,4,FALSE)=0,"",VLOOKUP($F50,Atletas!$J:$P,4,FALSE)),"")</f>
        <v/>
      </c>
      <c r="H50" s="90" t="str">
        <f>IFERROR(IF(VLOOKUP($F50,Atletas!$J:$P,5,FALSE)=0,"",VLOOKUP($F50,Atletas!$J:$P,5,FALSE)),"")</f>
        <v/>
      </c>
      <c r="I50" s="86" t="str">
        <f>IFERROR(IF(VLOOKUP($F50,Atletas!$J:$P,2,FALSE)=0,"",VLOOKUP($F50,Atletas!$J:$P,2,FALSE)),"")</f>
        <v/>
      </c>
      <c r="J50" s="95"/>
      <c r="K50" s="95"/>
      <c r="L50" s="119" t="s">
        <v>367</v>
      </c>
      <c r="M50" s="120" t="s">
        <v>1241</v>
      </c>
      <c r="N50" s="120" t="s">
        <v>1702</v>
      </c>
    </row>
    <row r="51" spans="1:14" ht="17" customHeight="1">
      <c r="A51" s="88">
        <f>IFERROR(HLOOKUP($B$2,Tab_Din_listagem!$A$2:$SY$333,75,0),"")</f>
        <v>0</v>
      </c>
      <c r="B51" s="89" t="str">
        <f>IFERROR(IF(VLOOKUP($A51,Atletas!$J:$P,4,FALSE)=0,"",VLOOKUP($A51,Atletas!$J:$P,4,FALSE)),"")</f>
        <v/>
      </c>
      <c r="C51" s="90" t="str">
        <f>IFERROR(IF(VLOOKUP($A51,Atletas!$J:$P,5,FALSE)=0,"",VLOOKUP($A51,Atletas!$J:$P,5,FALSE)),"")</f>
        <v/>
      </c>
      <c r="D51" s="86" t="str">
        <f>IFERROR(IF(VLOOKUP($A51,Atletas!$J:$P,2,FALSE)=0,"",VLOOKUP($A51,Atletas!$J:$P,2,FALSE)),"")</f>
        <v/>
      </c>
      <c r="E51" s="81"/>
      <c r="F51" s="88">
        <f>IFERROR(HLOOKUP($B$2,Tab_Din_listagem!$A$2:$SY$333,100,0),"")</f>
        <v>0</v>
      </c>
      <c r="G51" s="89" t="str">
        <f>IFERROR(IF(VLOOKUP($F51,Atletas!$J:$P,4,FALSE)=0,"",VLOOKUP($F51,Atletas!$J:$P,4,FALSE)),"")</f>
        <v/>
      </c>
      <c r="H51" s="90" t="str">
        <f>IFERROR(IF(VLOOKUP($F51,Atletas!$J:$P,5,FALSE)=0,"",VLOOKUP($F51,Atletas!$J:$P,5,FALSE)),"")</f>
        <v/>
      </c>
      <c r="I51" s="86" t="str">
        <f>IFERROR(IF(VLOOKUP($F51,Atletas!$J:$P,2,FALSE)=0,"",VLOOKUP($F51,Atletas!$J:$P,2,FALSE)),"")</f>
        <v/>
      </c>
      <c r="J51" s="95"/>
      <c r="K51" s="95"/>
      <c r="L51" s="119" t="s">
        <v>368</v>
      </c>
      <c r="M51" s="120" t="s">
        <v>148</v>
      </c>
      <c r="N51" s="120" t="s">
        <v>1703</v>
      </c>
    </row>
    <row r="52" spans="1:14" ht="17" customHeight="1">
      <c r="A52" s="88">
        <f>IFERROR(HLOOKUP($B$2,Tab_Din_listagem!$A$2:$SY$333,76,0),"")</f>
        <v>0</v>
      </c>
      <c r="B52" s="89" t="str">
        <f>IFERROR(IF(VLOOKUP($A52,Atletas!$J:$P,4,FALSE)=0,"",VLOOKUP($A52,Atletas!$J:$P,4,FALSE)),"")</f>
        <v/>
      </c>
      <c r="C52" s="90" t="str">
        <f>IFERROR(IF(VLOOKUP($A52,Atletas!$J:$P,5,FALSE)=0,"",VLOOKUP($A52,Atletas!$J:$P,5,FALSE)),"")</f>
        <v/>
      </c>
      <c r="D52" s="86" t="str">
        <f>IFERROR(IF(VLOOKUP($A52,Atletas!$J:$P,2,FALSE)=0,"",VLOOKUP($A52,Atletas!$J:$P,2,FALSE)),"")</f>
        <v/>
      </c>
      <c r="E52" s="81"/>
      <c r="F52" s="88">
        <f>IFERROR(HLOOKUP($B$2,Tab_Din_listagem!$A$2:$SY$333,101,0),"")</f>
        <v>0</v>
      </c>
      <c r="G52" s="89" t="str">
        <f>IFERROR(IF(VLOOKUP($F52,Atletas!$J:$P,4,FALSE)=0,"",VLOOKUP($F52,Atletas!$J:$P,4,FALSE)),"")</f>
        <v/>
      </c>
      <c r="H52" s="90" t="str">
        <f>IFERROR(IF(VLOOKUP($F52,Atletas!$J:$P,5,FALSE)=0,"",VLOOKUP($F52,Atletas!$J:$P,5,FALSE)),"")</f>
        <v/>
      </c>
      <c r="I52" s="86" t="str">
        <f>IFERROR(IF(VLOOKUP($F52,Atletas!$J:$P,2,FALSE)=0,"",VLOOKUP($F52,Atletas!$J:$P,2,FALSE)),"")</f>
        <v/>
      </c>
      <c r="J52" s="95"/>
      <c r="K52" s="95"/>
      <c r="L52" s="119" t="s">
        <v>369</v>
      </c>
      <c r="M52" s="120" t="s">
        <v>721</v>
      </c>
      <c r="N52" s="120" t="s">
        <v>1704</v>
      </c>
    </row>
    <row r="53" spans="1:14" ht="17" customHeight="1">
      <c r="A53" s="88">
        <f>IFERROR(HLOOKUP($B$2,Tab_Din_listagem!$A$2:$SY$333,77,0),"")</f>
        <v>0</v>
      </c>
      <c r="B53" s="89" t="str">
        <f>IFERROR(IF(VLOOKUP($A53,Atletas!$J:$P,4,FALSE)=0,"",VLOOKUP($A53,Atletas!$J:$P,4,FALSE)),"")</f>
        <v/>
      </c>
      <c r="C53" s="90" t="str">
        <f>IFERROR(IF(VLOOKUP($A53,Atletas!$J:$P,5,FALSE)=0,"",VLOOKUP($A53,Atletas!$J:$P,5,FALSE)),"")</f>
        <v/>
      </c>
      <c r="D53" s="86" t="str">
        <f>IFERROR(IF(VLOOKUP($A53,Atletas!$J:$P,2,FALSE)=0,"",VLOOKUP($A53,Atletas!$J:$P,2,FALSE)),"")</f>
        <v/>
      </c>
      <c r="E53" s="81"/>
      <c r="F53" s="88">
        <f>IFERROR(HLOOKUP($B$2,Tab_Din_listagem!$A$2:$SY$333,102,0),"")</f>
        <v>0</v>
      </c>
      <c r="G53" s="89" t="str">
        <f>IFERROR(IF(VLOOKUP($F53,Atletas!$J:$P,4,FALSE)=0,"",VLOOKUP($F53,Atletas!$J:$P,4,FALSE)),"")</f>
        <v/>
      </c>
      <c r="H53" s="90" t="str">
        <f>IFERROR(IF(VLOOKUP($F53,Atletas!$J:$P,5,FALSE)=0,"",VLOOKUP($F53,Atletas!$J:$P,5,FALSE)),"")</f>
        <v/>
      </c>
      <c r="I53" s="86" t="str">
        <f>IFERROR(IF(VLOOKUP($F53,Atletas!$J:$P,2,FALSE)=0,"",VLOOKUP($F53,Atletas!$J:$P,2,FALSE)),"")</f>
        <v/>
      </c>
      <c r="J53" s="95"/>
      <c r="K53" s="95"/>
      <c r="L53" s="119" t="s">
        <v>370</v>
      </c>
      <c r="M53" s="120" t="s">
        <v>893</v>
      </c>
      <c r="N53" s="120" t="s">
        <v>1705</v>
      </c>
    </row>
    <row r="54" spans="1:14" ht="17" customHeight="1">
      <c r="A54" s="91">
        <f>IFERROR(HLOOKUP($B$2,Tab_Din_listagem!$A$2:$SY$333,78,0),"")</f>
        <v>0</v>
      </c>
      <c r="B54" s="92" t="str">
        <f>IFERROR(IF(VLOOKUP($A54,Atletas!$J:$P,4,FALSE)=0,"",VLOOKUP($A54,Atletas!$J:$P,4,FALSE)),"")</f>
        <v/>
      </c>
      <c r="C54" s="93" t="str">
        <f>IFERROR(IF(VLOOKUP($A54,Atletas!$J:$P,5,FALSE)=0,"",VLOOKUP($A54,Atletas!$J:$P,5,FALSE)),"")</f>
        <v/>
      </c>
      <c r="D54" s="94" t="str">
        <f>IFERROR(IF(VLOOKUP($A54,Atletas!$J:$P,2,FALSE)=0,"",VLOOKUP($A54,Atletas!$J:$P,2,FALSE)),"")</f>
        <v/>
      </c>
      <c r="E54" s="81"/>
      <c r="F54" s="91">
        <f>IFERROR(HLOOKUP($B$2,Tab_Din_listagem!$A$2:$SY$333,103,0),"")</f>
        <v>0</v>
      </c>
      <c r="G54" s="92" t="str">
        <f>IFERROR(IF(VLOOKUP($F54,Atletas!$J:$P,4,FALSE)=0,"",VLOOKUP($F54,Atletas!$J:$P,4,FALSE)),"")</f>
        <v/>
      </c>
      <c r="H54" s="93" t="str">
        <f>IFERROR(IF(VLOOKUP($F54,Atletas!$J:$P,5,FALSE)=0,"",VLOOKUP($F54,Atletas!$J:$P,5,FALSE)),"")</f>
        <v/>
      </c>
      <c r="I54" s="94" t="str">
        <f>IFERROR(IF(VLOOKUP($F54,Atletas!$J:$P,2,FALSE)=0,"",VLOOKUP($F54,Atletas!$J:$P,2,FALSE)),"")</f>
        <v/>
      </c>
      <c r="J54" s="95"/>
      <c r="K54" s="95"/>
      <c r="L54" s="119" t="s">
        <v>379</v>
      </c>
      <c r="M54" s="120" t="s">
        <v>90</v>
      </c>
      <c r="N54" s="120" t="s">
        <v>1706</v>
      </c>
    </row>
    <row r="55" spans="1:14" ht="17" customHeight="1">
      <c r="A55" s="88">
        <f>IFERROR(HLOOKUP($B$2,Tab_Din_listagem!$A$2:$SY$333,104,0),"")</f>
        <v>0</v>
      </c>
      <c r="B55" s="89" t="str">
        <f>IFERROR(IF(VLOOKUP($A55,Atletas!$J:$P,4,FALSE)=0,"",VLOOKUP($A55,Atletas!$J:$P,4,FALSE)),"")</f>
        <v/>
      </c>
      <c r="C55" s="90" t="str">
        <f>IFERROR(IF(VLOOKUP($A55,Atletas!$J:$P,5,FALSE)=0,"",VLOOKUP($A55,Atletas!$J:$P,5,FALSE)),"")</f>
        <v/>
      </c>
      <c r="D55" s="86" t="str">
        <f>IFERROR(IF(VLOOKUP($A55,Atletas!$J:$P,2,FALSE)=0,"",VLOOKUP($A55,Atletas!$J:$P,2,FALSE)),"")</f>
        <v/>
      </c>
      <c r="E55" s="81"/>
      <c r="F55" s="88">
        <f>IFERROR(HLOOKUP($B$2,Tab_Din_listagem!$A$2:$SY$333,129,0),"")</f>
        <v>0</v>
      </c>
      <c r="G55" s="89" t="str">
        <f>IFERROR(IF(VLOOKUP($F55,Atletas!$J:$P,4,FALSE)=0,"",VLOOKUP($F55,Atletas!$J:$P,4,FALSE)),"")</f>
        <v/>
      </c>
      <c r="H55" s="90" t="str">
        <f>IFERROR(IF(VLOOKUP($F55,Atletas!$J:$P,5,FALSE)=0,"",VLOOKUP($F55,Atletas!$J:$P,5,FALSE)),"")</f>
        <v/>
      </c>
      <c r="I55" s="86" t="str">
        <f>IFERROR(IF(VLOOKUP($F55,Atletas!$J:$P,2,FALSE)=0,"",VLOOKUP($F55,Atletas!$J:$P,2,FALSE)),"")</f>
        <v/>
      </c>
      <c r="J55" s="95"/>
      <c r="K55" s="95"/>
      <c r="L55" s="119" t="s">
        <v>772</v>
      </c>
      <c r="M55" s="120" t="s">
        <v>151</v>
      </c>
      <c r="N55" s="120" t="s">
        <v>1707</v>
      </c>
    </row>
    <row r="56" spans="1:14" ht="17" customHeight="1">
      <c r="A56" s="88">
        <f>IFERROR(HLOOKUP($B$2,Tab_Din_listagem!$A$2:$SY$333,105,0),"")</f>
        <v>0</v>
      </c>
      <c r="B56" s="89" t="str">
        <f>IFERROR(IF(VLOOKUP($A56,Atletas!$J:$P,4,FALSE)=0,"",VLOOKUP($A56,Atletas!$J:$P,4,FALSE)),"")</f>
        <v/>
      </c>
      <c r="C56" s="90" t="str">
        <f>IFERROR(IF(VLOOKUP($A56,Atletas!$J:$P,5,FALSE)=0,"",VLOOKUP($A56,Atletas!$J:$P,5,FALSE)),"")</f>
        <v/>
      </c>
      <c r="D56" s="86" t="str">
        <f>IFERROR(IF(VLOOKUP($A56,Atletas!$J:$P,2,FALSE)=0,"",VLOOKUP($A56,Atletas!$J:$P,2,FALSE)),"")</f>
        <v/>
      </c>
      <c r="E56" s="81"/>
      <c r="F56" s="88">
        <f>IFERROR(HLOOKUP($B$2,Tab_Din_listagem!$A$2:$SY$333,130,0),"")</f>
        <v>0</v>
      </c>
      <c r="G56" s="89" t="str">
        <f>IFERROR(IF(VLOOKUP($F56,Atletas!$J:$P,4,FALSE)=0,"",VLOOKUP($F56,Atletas!$J:$P,4,FALSE)),"")</f>
        <v/>
      </c>
      <c r="H56" s="90" t="str">
        <f>IFERROR(IF(VLOOKUP($F56,Atletas!$J:$P,5,FALSE)=0,"",VLOOKUP($F56,Atletas!$J:$P,5,FALSE)),"")</f>
        <v/>
      </c>
      <c r="I56" s="86" t="str">
        <f>IFERROR(IF(VLOOKUP($F56,Atletas!$J:$P,2,FALSE)=0,"",VLOOKUP($F56,Atletas!$J:$P,2,FALSE)),"")</f>
        <v/>
      </c>
      <c r="J56" s="95"/>
      <c r="K56" s="95"/>
      <c r="L56" s="119" t="s">
        <v>773</v>
      </c>
      <c r="M56" s="120" t="s">
        <v>149</v>
      </c>
      <c r="N56" s="120" t="s">
        <v>1708</v>
      </c>
    </row>
    <row r="57" spans="1:14" ht="17" customHeight="1">
      <c r="A57" s="88">
        <f>IFERROR(HLOOKUP($B$2,Tab_Din_listagem!$A$2:$SY$333,106,0),"")</f>
        <v>0</v>
      </c>
      <c r="B57" s="89" t="str">
        <f>IFERROR(IF(VLOOKUP($A57,Atletas!$J:$P,4,FALSE)=0,"",VLOOKUP($A57,Atletas!$J:$P,4,FALSE)),"")</f>
        <v/>
      </c>
      <c r="C57" s="90" t="str">
        <f>IFERROR(IF(VLOOKUP($A57,Atletas!$J:$P,5,FALSE)=0,"",VLOOKUP($A57,Atletas!$J:$P,5,FALSE)),"")</f>
        <v/>
      </c>
      <c r="D57" s="86" t="str">
        <f>IFERROR(IF(VLOOKUP($A57,Atletas!$J:$P,2,FALSE)=0,"",VLOOKUP($A57,Atletas!$J:$P,2,FALSE)),"")</f>
        <v/>
      </c>
      <c r="E57" s="81"/>
      <c r="F57" s="88">
        <f>IFERROR(HLOOKUP($B$2,Tab_Din_listagem!$A$2:$SY$333,131,0),"")</f>
        <v>0</v>
      </c>
      <c r="G57" s="89" t="str">
        <f>IFERROR(IF(VLOOKUP($F57,Atletas!$J:$P,4,FALSE)=0,"",VLOOKUP($F57,Atletas!$J:$P,4,FALSE)),"")</f>
        <v/>
      </c>
      <c r="H57" s="90" t="str">
        <f>IFERROR(IF(VLOOKUP($F57,Atletas!$J:$P,5,FALSE)=0,"",VLOOKUP($F57,Atletas!$J:$P,5,FALSE)),"")</f>
        <v/>
      </c>
      <c r="I57" s="86" t="str">
        <f>IFERROR(IF(VLOOKUP($F57,Atletas!$J:$P,2,FALSE)=0,"",VLOOKUP($F57,Atletas!$J:$P,2,FALSE)),"")</f>
        <v/>
      </c>
      <c r="J57" s="95"/>
      <c r="K57" s="95"/>
      <c r="L57" s="119" t="s">
        <v>774</v>
      </c>
      <c r="M57" s="120" t="s">
        <v>168</v>
      </c>
      <c r="N57" s="120" t="s">
        <v>1709</v>
      </c>
    </row>
    <row r="58" spans="1:14" ht="17" customHeight="1">
      <c r="A58" s="88">
        <f>IFERROR(HLOOKUP($B$2,Tab_Din_listagem!$A$2:$SY$333,107,0),"")</f>
        <v>0</v>
      </c>
      <c r="B58" s="89" t="str">
        <f>IFERROR(IF(VLOOKUP($A58,Atletas!$J:$P,4,FALSE)=0,"",VLOOKUP($A58,Atletas!$J:$P,4,FALSE)),"")</f>
        <v/>
      </c>
      <c r="C58" s="90" t="str">
        <f>IFERROR(IF(VLOOKUP($A58,Atletas!$J:$P,5,FALSE)=0,"",VLOOKUP($A58,Atletas!$J:$P,5,FALSE)),"")</f>
        <v/>
      </c>
      <c r="D58" s="86" t="str">
        <f>IFERROR(IF(VLOOKUP($A58,Atletas!$J:$P,2,FALSE)=0,"",VLOOKUP($A58,Atletas!$J:$P,2,FALSE)),"")</f>
        <v/>
      </c>
      <c r="E58" s="81"/>
      <c r="F58" s="88">
        <f>IFERROR(HLOOKUP($B$2,Tab_Din_listagem!$A$2:$SY$333,132,0),"")</f>
        <v>0</v>
      </c>
      <c r="G58" s="89" t="str">
        <f>IFERROR(IF(VLOOKUP($F58,Atletas!$J:$P,4,FALSE)=0,"",VLOOKUP($F58,Atletas!$J:$P,4,FALSE)),"")</f>
        <v/>
      </c>
      <c r="H58" s="90" t="str">
        <f>IFERROR(IF(VLOOKUP($F58,Atletas!$J:$P,5,FALSE)=0,"",VLOOKUP($F58,Atletas!$J:$P,5,FALSE)),"")</f>
        <v/>
      </c>
      <c r="I58" s="86" t="str">
        <f>IFERROR(IF(VLOOKUP($F58,Atletas!$J:$P,2,FALSE)=0,"",VLOOKUP($F58,Atletas!$J:$P,2,FALSE)),"")</f>
        <v/>
      </c>
      <c r="J58" s="95"/>
      <c r="K58" s="95"/>
      <c r="L58" s="119" t="s">
        <v>775</v>
      </c>
      <c r="M58" s="120" t="s">
        <v>706</v>
      </c>
      <c r="N58" s="120" t="s">
        <v>1710</v>
      </c>
    </row>
    <row r="59" spans="1:14" ht="17" customHeight="1">
      <c r="A59" s="88">
        <f>IFERROR(HLOOKUP($B$2,Tab_Din_listagem!$A$2:$SY$333,108,0),"")</f>
        <v>0</v>
      </c>
      <c r="B59" s="89" t="str">
        <f>IFERROR(IF(VLOOKUP($A59,Atletas!$J:$P,4,FALSE)=0,"",VLOOKUP($A59,Atletas!$J:$P,4,FALSE)),"")</f>
        <v/>
      </c>
      <c r="C59" s="90" t="str">
        <f>IFERROR(IF(VLOOKUP($A59,Atletas!$J:$P,5,FALSE)=0,"",VLOOKUP($A59,Atletas!$J:$P,5,FALSE)),"")</f>
        <v/>
      </c>
      <c r="D59" s="86" t="str">
        <f>IFERROR(IF(VLOOKUP($A59,Atletas!$J:$P,2,FALSE)=0,"",VLOOKUP($A59,Atletas!$J:$P,2,FALSE)),"")</f>
        <v/>
      </c>
      <c r="E59" s="81"/>
      <c r="F59" s="88">
        <f>IFERROR(HLOOKUP($B$2,Tab_Din_listagem!$A$2:$SY$333,133,0),"")</f>
        <v>0</v>
      </c>
      <c r="G59" s="89" t="str">
        <f>IFERROR(IF(VLOOKUP($F59,Atletas!$J:$P,4,FALSE)=0,"",VLOOKUP($F59,Atletas!$J:$P,4,FALSE)),"")</f>
        <v/>
      </c>
      <c r="H59" s="90" t="str">
        <f>IFERROR(IF(VLOOKUP($F59,Atletas!$J:$P,5,FALSE)=0,"",VLOOKUP($F59,Atletas!$J:$P,5,FALSE)),"")</f>
        <v/>
      </c>
      <c r="I59" s="86" t="str">
        <f>IFERROR(IF(VLOOKUP($F59,Atletas!$J:$P,2,FALSE)=0,"",VLOOKUP($F59,Atletas!$J:$P,2,FALSE)),"")</f>
        <v/>
      </c>
      <c r="J59" s="95"/>
      <c r="K59" s="95"/>
      <c r="L59" s="119" t="s">
        <v>776</v>
      </c>
      <c r="M59" s="120" t="s">
        <v>956</v>
      </c>
      <c r="N59" s="120" t="s">
        <v>1711</v>
      </c>
    </row>
    <row r="60" spans="1:14" ht="17" customHeight="1">
      <c r="A60" s="88">
        <f>IFERROR(HLOOKUP($B$2,Tab_Din_listagem!$A$2:$SY$333,109,0),"")</f>
        <v>0</v>
      </c>
      <c r="B60" s="89" t="str">
        <f>IFERROR(IF(VLOOKUP($A60,Atletas!$J:$P,4,FALSE)=0,"",VLOOKUP($A60,Atletas!$J:$P,4,FALSE)),"")</f>
        <v/>
      </c>
      <c r="C60" s="90" t="str">
        <f>IFERROR(IF(VLOOKUP($A60,Atletas!$J:$P,5,FALSE)=0,"",VLOOKUP($A60,Atletas!$J:$P,5,FALSE)),"")</f>
        <v/>
      </c>
      <c r="D60" s="86" t="str">
        <f>IFERROR(IF(VLOOKUP($A60,Atletas!$J:$P,2,FALSE)=0,"",VLOOKUP($A60,Atletas!$J:$P,2,FALSE)),"")</f>
        <v/>
      </c>
      <c r="E60" s="81"/>
      <c r="F60" s="88">
        <f>IFERROR(HLOOKUP($B$2,Tab_Din_listagem!$A$2:$SY$333,134,0),"")</f>
        <v>0</v>
      </c>
      <c r="G60" s="89" t="str">
        <f>IFERROR(IF(VLOOKUP($F60,Atletas!$J:$P,4,FALSE)=0,"",VLOOKUP($F60,Atletas!$J:$P,4,FALSE)),"")</f>
        <v/>
      </c>
      <c r="H60" s="90" t="str">
        <f>IFERROR(IF(VLOOKUP($F60,Atletas!$J:$P,5,FALSE)=0,"",VLOOKUP($F60,Atletas!$J:$P,5,FALSE)),"")</f>
        <v/>
      </c>
      <c r="I60" s="86" t="str">
        <f>IFERROR(IF(VLOOKUP($F60,Atletas!$J:$P,2,FALSE)=0,"",VLOOKUP($F60,Atletas!$J:$P,2,FALSE)),"")</f>
        <v/>
      </c>
      <c r="J60" s="95"/>
      <c r="K60" s="95"/>
      <c r="L60" s="119" t="s">
        <v>1245</v>
      </c>
      <c r="M60" s="120" t="s">
        <v>1242</v>
      </c>
      <c r="N60" s="120" t="s">
        <v>1712</v>
      </c>
    </row>
    <row r="61" spans="1:14" ht="17" customHeight="1">
      <c r="A61" s="88">
        <f>IFERROR(HLOOKUP($B$2,Tab_Din_listagem!$A$2:$SY$333,110,0),"")</f>
        <v>0</v>
      </c>
      <c r="B61" s="89" t="str">
        <f>IFERROR(IF(VLOOKUP($A61,Atletas!$J:$P,4,FALSE)=0,"",VLOOKUP($A61,Atletas!$J:$P,4,FALSE)),"")</f>
        <v/>
      </c>
      <c r="C61" s="90" t="str">
        <f>IFERROR(IF(VLOOKUP($A61,Atletas!$J:$P,5,FALSE)=0,"",VLOOKUP($A61,Atletas!$J:$P,5,FALSE)),"")</f>
        <v/>
      </c>
      <c r="D61" s="86" t="str">
        <f>IFERROR(IF(VLOOKUP($A61,Atletas!$J:$P,2,FALSE)=0,"",VLOOKUP($A61,Atletas!$J:$P,2,FALSE)),"")</f>
        <v/>
      </c>
      <c r="E61" s="81"/>
      <c r="F61" s="88">
        <f>IFERROR(HLOOKUP($B$2,Tab_Din_listagem!$A$2:$SY$333,135,0),"")</f>
        <v>0</v>
      </c>
      <c r="G61" s="89" t="str">
        <f>IFERROR(IF(VLOOKUP($F61,Atletas!$J:$P,4,FALSE)=0,"",VLOOKUP($F61,Atletas!$J:$P,4,FALSE)),"")</f>
        <v/>
      </c>
      <c r="H61" s="90" t="str">
        <f>IFERROR(IF(VLOOKUP($F61,Atletas!$J:$P,5,FALSE)=0,"",VLOOKUP($F61,Atletas!$J:$P,5,FALSE)),"")</f>
        <v/>
      </c>
      <c r="I61" s="86" t="str">
        <f>IFERROR(IF(VLOOKUP($F61,Atletas!$J:$P,2,FALSE)=0,"",VLOOKUP($F61,Atletas!$J:$P,2,FALSE)),"")</f>
        <v/>
      </c>
      <c r="J61" s="95"/>
      <c r="K61" s="95"/>
      <c r="L61" s="119" t="s">
        <v>1246</v>
      </c>
      <c r="M61" s="120" t="s">
        <v>147</v>
      </c>
      <c r="N61" s="120" t="s">
        <v>1713</v>
      </c>
    </row>
    <row r="62" spans="1:14" ht="17" customHeight="1">
      <c r="A62" s="88">
        <f>IFERROR(HLOOKUP($B$2,Tab_Din_listagem!$A$2:$SY$333,111,0),"")</f>
        <v>0</v>
      </c>
      <c r="B62" s="89" t="str">
        <f>IFERROR(IF(VLOOKUP($A62,Atletas!$J:$P,4,FALSE)=0,"",VLOOKUP($A62,Atletas!$J:$P,4,FALSE)),"")</f>
        <v/>
      </c>
      <c r="C62" s="90" t="str">
        <f>IFERROR(IF(VLOOKUP($A62,Atletas!$J:$P,5,FALSE)=0,"",VLOOKUP($A62,Atletas!$J:$P,5,FALSE)),"")</f>
        <v/>
      </c>
      <c r="D62" s="86" t="str">
        <f>IFERROR(IF(VLOOKUP($A62,Atletas!$J:$P,2,FALSE)=0,"",VLOOKUP($A62,Atletas!$J:$P,2,FALSE)),"")</f>
        <v/>
      </c>
      <c r="E62" s="81"/>
      <c r="F62" s="88">
        <f>IFERROR(HLOOKUP($B$2,Tab_Din_listagem!$A$2:$SY$333,136,0),"")</f>
        <v>0</v>
      </c>
      <c r="G62" s="89" t="str">
        <f>IFERROR(IF(VLOOKUP($F62,Atletas!$J:$P,4,FALSE)=0,"",VLOOKUP($F62,Atletas!$J:$P,4,FALSE)),"")</f>
        <v/>
      </c>
      <c r="H62" s="90" t="str">
        <f>IFERROR(IF(VLOOKUP($F62,Atletas!$J:$P,5,FALSE)=0,"",VLOOKUP($F62,Atletas!$J:$P,5,FALSE)),"")</f>
        <v/>
      </c>
      <c r="I62" s="86" t="str">
        <f>IFERROR(IF(VLOOKUP($F62,Atletas!$J:$P,2,FALSE)=0,"",VLOOKUP($F62,Atletas!$J:$P,2,FALSE)),"")</f>
        <v/>
      </c>
      <c r="J62" s="95"/>
      <c r="K62" s="95"/>
      <c r="L62" s="119" t="s">
        <v>1247</v>
      </c>
      <c r="M62" s="120" t="s">
        <v>408</v>
      </c>
      <c r="N62" s="120" t="s">
        <v>1714</v>
      </c>
    </row>
    <row r="63" spans="1:14" ht="17" customHeight="1">
      <c r="A63" s="88">
        <f>IFERROR(HLOOKUP($B$2,Tab_Din_listagem!$A$2:$SY$333,112,0),"")</f>
        <v>0</v>
      </c>
      <c r="B63" s="89" t="str">
        <f>IFERROR(IF(VLOOKUP($A63,Atletas!$J:$P,4,FALSE)=0,"",VLOOKUP($A63,Atletas!$J:$P,4,FALSE)),"")</f>
        <v/>
      </c>
      <c r="C63" s="90" t="str">
        <f>IFERROR(IF(VLOOKUP($A63,Atletas!$J:$P,5,FALSE)=0,"",VLOOKUP($A63,Atletas!$J:$P,5,FALSE)),"")</f>
        <v/>
      </c>
      <c r="D63" s="86" t="str">
        <f>IFERROR(IF(VLOOKUP($A63,Atletas!$J:$P,2,FALSE)=0,"",VLOOKUP($A63,Atletas!$J:$P,2,FALSE)),"")</f>
        <v/>
      </c>
      <c r="E63" s="81"/>
      <c r="F63" s="88">
        <f>IFERROR(HLOOKUP($B$2,Tab_Din_listagem!$A$2:$SY$333,137,0),"")</f>
        <v>0</v>
      </c>
      <c r="G63" s="89" t="str">
        <f>IFERROR(IF(VLOOKUP($F63,Atletas!$J:$P,4,FALSE)=0,"",VLOOKUP($F63,Atletas!$J:$P,4,FALSE)),"")</f>
        <v/>
      </c>
      <c r="H63" s="90" t="str">
        <f>IFERROR(IF(VLOOKUP($F63,Atletas!$J:$P,5,FALSE)=0,"",VLOOKUP($F63,Atletas!$J:$P,5,FALSE)),"")</f>
        <v/>
      </c>
      <c r="I63" s="86" t="str">
        <f>IFERROR(IF(VLOOKUP($F63,Atletas!$J:$P,2,FALSE)=0,"",VLOOKUP($F63,Atletas!$J:$P,2,FALSE)),"")</f>
        <v/>
      </c>
      <c r="J63" s="95"/>
      <c r="K63" s="95"/>
      <c r="L63" s="119" t="s">
        <v>1248</v>
      </c>
      <c r="M63" s="120" t="s">
        <v>433</v>
      </c>
      <c r="N63" s="120" t="s">
        <v>1715</v>
      </c>
    </row>
    <row r="64" spans="1:14" ht="17" customHeight="1">
      <c r="A64" s="88">
        <f>IFERROR(HLOOKUP($B$2,Tab_Din_listagem!$A$2:$SY$333,113,0),"")</f>
        <v>0</v>
      </c>
      <c r="B64" s="89" t="str">
        <f>IFERROR(IF(VLOOKUP($A64,Atletas!$J:$P,4,FALSE)=0,"",VLOOKUP($A64,Atletas!$J:$P,4,FALSE)),"")</f>
        <v/>
      </c>
      <c r="C64" s="90" t="str">
        <f>IFERROR(IF(VLOOKUP($A64,Atletas!$J:$P,5,FALSE)=0,"",VLOOKUP($A64,Atletas!$J:$P,5,FALSE)),"")</f>
        <v/>
      </c>
      <c r="D64" s="86" t="str">
        <f>IFERROR(IF(VLOOKUP($A64,Atletas!$J:$P,2,FALSE)=0,"",VLOOKUP($A64,Atletas!$J:$P,2,FALSE)),"")</f>
        <v/>
      </c>
      <c r="E64" s="81"/>
      <c r="F64" s="88">
        <f>IFERROR(HLOOKUP($B$2,Tab_Din_listagem!$A$2:$SY$333,138,0),"")</f>
        <v>0</v>
      </c>
      <c r="G64" s="89" t="str">
        <f>IFERROR(IF(VLOOKUP($F64,Atletas!$J:$P,4,FALSE)=0,"",VLOOKUP($F64,Atletas!$J:$P,4,FALSE)),"")</f>
        <v/>
      </c>
      <c r="H64" s="90" t="str">
        <f>IFERROR(IF(VLOOKUP($F64,Atletas!$J:$P,5,FALSE)=0,"",VLOOKUP($F64,Atletas!$J:$P,5,FALSE)),"")</f>
        <v/>
      </c>
      <c r="I64" s="86" t="str">
        <f>IFERROR(IF(VLOOKUP($F64,Atletas!$J:$P,2,FALSE)=0,"",VLOOKUP($F64,Atletas!$J:$P,2,FALSE)),"")</f>
        <v/>
      </c>
      <c r="J64" s="95"/>
      <c r="K64" s="95"/>
      <c r="L64" s="119" t="s">
        <v>1249</v>
      </c>
      <c r="M64" s="120" t="s">
        <v>671</v>
      </c>
      <c r="N64" s="120" t="s">
        <v>1716</v>
      </c>
    </row>
    <row r="65" spans="1:11" ht="17" customHeight="1">
      <c r="A65" s="88">
        <f>IFERROR(HLOOKUP($B$2,Tab_Din_listagem!$A$2:$SY$333,114,0),"")</f>
        <v>0</v>
      </c>
      <c r="B65" s="89" t="str">
        <f>IFERROR(IF(VLOOKUP($A65,Atletas!$J:$P,4,FALSE)=0,"",VLOOKUP($A65,Atletas!$J:$P,4,FALSE)),"")</f>
        <v/>
      </c>
      <c r="C65" s="90" t="str">
        <f>IFERROR(IF(VLOOKUP($A65,Atletas!$J:$P,5,FALSE)=0,"",VLOOKUP($A65,Atletas!$J:$P,5,FALSE)),"")</f>
        <v/>
      </c>
      <c r="D65" s="86" t="str">
        <f>IFERROR(IF(VLOOKUP($A65,Atletas!$J:$P,2,FALSE)=0,"",VLOOKUP($A65,Atletas!$J:$P,2,FALSE)),"")</f>
        <v/>
      </c>
      <c r="E65" s="81"/>
      <c r="F65" s="88">
        <f>IFERROR(HLOOKUP($B$2,Tab_Din_listagem!$A$2:$SY$333,139,0),"")</f>
        <v>0</v>
      </c>
      <c r="G65" s="89" t="str">
        <f>IFERROR(IF(VLOOKUP($F65,Atletas!$J:$P,4,FALSE)=0,"",VLOOKUP($F65,Atletas!$J:$P,4,FALSE)),"")</f>
        <v/>
      </c>
      <c r="H65" s="90" t="str">
        <f>IFERROR(IF(VLOOKUP($F65,Atletas!$J:$P,5,FALSE)=0,"",VLOOKUP($F65,Atletas!$J:$P,5,FALSE)),"")</f>
        <v/>
      </c>
      <c r="I65" s="86" t="str">
        <f>IFERROR(IF(VLOOKUP($F65,Atletas!$J:$P,2,FALSE)=0,"",VLOOKUP($F65,Atletas!$J:$P,2,FALSE)),"")</f>
        <v/>
      </c>
      <c r="J65" s="95"/>
      <c r="K65" s="95"/>
    </row>
    <row r="66" spans="1:11" ht="17" customHeight="1">
      <c r="A66" s="88">
        <f>IFERROR(HLOOKUP($B$2,Tab_Din_listagem!$A$2:$SY$333,115,0),"")</f>
        <v>0</v>
      </c>
      <c r="B66" s="89" t="str">
        <f>IFERROR(IF(VLOOKUP($A66,Atletas!$J:$P,4,FALSE)=0,"",VLOOKUP($A66,Atletas!$J:$P,4,FALSE)),"")</f>
        <v/>
      </c>
      <c r="C66" s="90" t="str">
        <f>IFERROR(IF(VLOOKUP($A66,Atletas!$J:$P,5,FALSE)=0,"",VLOOKUP($A66,Atletas!$J:$P,5,FALSE)),"")</f>
        <v/>
      </c>
      <c r="D66" s="86" t="str">
        <f>IFERROR(IF(VLOOKUP($A66,Atletas!$J:$P,2,FALSE)=0,"",VLOOKUP($A66,Atletas!$J:$P,2,FALSE)),"")</f>
        <v/>
      </c>
      <c r="E66" s="81"/>
      <c r="F66" s="88">
        <f>IFERROR(HLOOKUP($B$2,Tab_Din_listagem!$A$2:$SY$333,140,0),"")</f>
        <v>0</v>
      </c>
      <c r="G66" s="89" t="str">
        <f>IFERROR(IF(VLOOKUP($F66,Atletas!$J:$P,4,FALSE)=0,"",VLOOKUP($F66,Atletas!$J:$P,4,FALSE)),"")</f>
        <v/>
      </c>
      <c r="H66" s="90" t="str">
        <f>IFERROR(IF(VLOOKUP($F66,Atletas!$J:$P,5,FALSE)=0,"",VLOOKUP($F66,Atletas!$J:$P,5,FALSE)),"")</f>
        <v/>
      </c>
      <c r="I66" s="86" t="str">
        <f>IFERROR(IF(VLOOKUP($F66,Atletas!$J:$P,2,FALSE)=0,"",VLOOKUP($F66,Atletas!$J:$P,2,FALSE)),"")</f>
        <v/>
      </c>
      <c r="J66" s="95"/>
      <c r="K66" s="95"/>
    </row>
    <row r="67" spans="1:11" ht="17" customHeight="1">
      <c r="A67" s="88">
        <f>IFERROR(HLOOKUP($B$2,Tab_Din_listagem!$A$2:$SY$333,116,0),"")</f>
        <v>0</v>
      </c>
      <c r="B67" s="89" t="str">
        <f>IFERROR(IF(VLOOKUP($A67,Atletas!$J:$P,4,FALSE)=0,"",VLOOKUP($A67,Atletas!$J:$P,4,FALSE)),"")</f>
        <v/>
      </c>
      <c r="C67" s="90" t="str">
        <f>IFERROR(IF(VLOOKUP($A67,Atletas!$J:$P,5,FALSE)=0,"",VLOOKUP($A67,Atletas!$J:$P,5,FALSE)),"")</f>
        <v/>
      </c>
      <c r="D67" s="86" t="str">
        <f>IFERROR(IF(VLOOKUP($A67,Atletas!$J:$P,2,FALSE)=0,"",VLOOKUP($A67,Atletas!$J:$P,2,FALSE)),"")</f>
        <v/>
      </c>
      <c r="E67" s="81"/>
      <c r="F67" s="88">
        <f>IFERROR(HLOOKUP($B$2,Tab_Din_listagem!$A$2:$SY$333,141,0),"")</f>
        <v>0</v>
      </c>
      <c r="G67" s="89" t="str">
        <f>IFERROR(IF(VLOOKUP($F67,Atletas!$J:$P,4,FALSE)=0,"",VLOOKUP($F67,Atletas!$J:$P,4,FALSE)),"")</f>
        <v/>
      </c>
      <c r="H67" s="90" t="str">
        <f>IFERROR(IF(VLOOKUP($F67,Atletas!$J:$P,5,FALSE)=0,"",VLOOKUP($F67,Atletas!$J:$P,5,FALSE)),"")</f>
        <v/>
      </c>
      <c r="I67" s="86" t="str">
        <f>IFERROR(IF(VLOOKUP($F67,Atletas!$J:$P,2,FALSE)=0,"",VLOOKUP($F67,Atletas!$J:$P,2,FALSE)),"")</f>
        <v/>
      </c>
      <c r="J67" s="95"/>
      <c r="K67" s="95"/>
    </row>
    <row r="68" spans="1:11" ht="17" customHeight="1">
      <c r="A68" s="88">
        <f>IFERROR(HLOOKUP($B$2,Tab_Din_listagem!$A$2:$SY$333,117,0),"")</f>
        <v>0</v>
      </c>
      <c r="B68" s="89" t="str">
        <f>IFERROR(IF(VLOOKUP($A68,Atletas!$J:$P,4,FALSE)=0,"",VLOOKUP($A68,Atletas!$J:$P,4,FALSE)),"")</f>
        <v/>
      </c>
      <c r="C68" s="90" t="str">
        <f>IFERROR(IF(VLOOKUP($A68,Atletas!$J:$P,5,FALSE)=0,"",VLOOKUP($A68,Atletas!$J:$P,5,FALSE)),"")</f>
        <v/>
      </c>
      <c r="D68" s="86" t="str">
        <f>IFERROR(IF(VLOOKUP($A68,Atletas!$J:$P,2,FALSE)=0,"",VLOOKUP($A68,Atletas!$J:$P,2,FALSE)),"")</f>
        <v/>
      </c>
      <c r="E68" s="81"/>
      <c r="F68" s="88">
        <f>IFERROR(HLOOKUP($B$2,Tab_Din_listagem!$A$2:$SY$333,142,0),"")</f>
        <v>0</v>
      </c>
      <c r="G68" s="89" t="str">
        <f>IFERROR(IF(VLOOKUP($F68,Atletas!$J:$P,4,FALSE)=0,"",VLOOKUP($F68,Atletas!$J:$P,4,FALSE)),"")</f>
        <v/>
      </c>
      <c r="H68" s="90" t="str">
        <f>IFERROR(IF(VLOOKUP($F68,Atletas!$J:$P,5,FALSE)=0,"",VLOOKUP($F68,Atletas!$J:$P,5,FALSE)),"")</f>
        <v/>
      </c>
      <c r="I68" s="86" t="str">
        <f>IFERROR(IF(VLOOKUP($F68,Atletas!$J:$P,2,FALSE)=0,"",VLOOKUP($F68,Atletas!$J:$P,2,FALSE)),"")</f>
        <v/>
      </c>
      <c r="J68" s="95"/>
      <c r="K68" s="95"/>
    </row>
    <row r="69" spans="1:11" ht="17" customHeight="1">
      <c r="A69" s="88">
        <f>IFERROR(HLOOKUP($B$2,Tab_Din_listagem!$A$2:$SY$333,118,0),"")</f>
        <v>0</v>
      </c>
      <c r="B69" s="89" t="str">
        <f>IFERROR(IF(VLOOKUP($A69,Atletas!$J:$P,4,FALSE)=0,"",VLOOKUP($A69,Atletas!$J:$P,4,FALSE)),"")</f>
        <v/>
      </c>
      <c r="C69" s="90" t="str">
        <f>IFERROR(IF(VLOOKUP($A69,Atletas!$J:$P,5,FALSE)=0,"",VLOOKUP($A69,Atletas!$J:$P,5,FALSE)),"")</f>
        <v/>
      </c>
      <c r="D69" s="86" t="str">
        <f>IFERROR(IF(VLOOKUP($A69,Atletas!$J:$P,2,FALSE)=0,"",VLOOKUP($A69,Atletas!$J:$P,2,FALSE)),"")</f>
        <v/>
      </c>
      <c r="E69" s="81"/>
      <c r="F69" s="88">
        <f>IFERROR(HLOOKUP($B$2,Tab_Din_listagem!$A$2:$SY$333,143,0),"")</f>
        <v>0</v>
      </c>
      <c r="G69" s="89" t="str">
        <f>IFERROR(IF(VLOOKUP($F69,Atletas!$J:$P,4,FALSE)=0,"",VLOOKUP($F69,Atletas!$J:$P,4,FALSE)),"")</f>
        <v/>
      </c>
      <c r="H69" s="90" t="str">
        <f>IFERROR(IF(VLOOKUP($F69,Atletas!$J:$P,5,FALSE)=0,"",VLOOKUP($F69,Atletas!$J:$P,5,FALSE)),"")</f>
        <v/>
      </c>
      <c r="I69" s="86" t="str">
        <f>IFERROR(IF(VLOOKUP($F69,Atletas!$J:$P,2,FALSE)=0,"",VLOOKUP($F69,Atletas!$J:$P,2,FALSE)),"")</f>
        <v/>
      </c>
      <c r="J69" s="95"/>
      <c r="K69" s="95"/>
    </row>
    <row r="70" spans="1:11" ht="17" customHeight="1">
      <c r="A70" s="88">
        <f>IFERROR(HLOOKUP($B$2,Tab_Din_listagem!$A$2:$SY$333,119,0),"")</f>
        <v>0</v>
      </c>
      <c r="B70" s="89" t="str">
        <f>IFERROR(IF(VLOOKUP($A70,Atletas!$J:$P,4,FALSE)=0,"",VLOOKUP($A70,Atletas!$J:$P,4,FALSE)),"")</f>
        <v/>
      </c>
      <c r="C70" s="90" t="str">
        <f>IFERROR(IF(VLOOKUP($A70,Atletas!$J:$P,5,FALSE)=0,"",VLOOKUP($A70,Atletas!$J:$P,5,FALSE)),"")</f>
        <v/>
      </c>
      <c r="D70" s="86" t="str">
        <f>IFERROR(IF(VLOOKUP($A70,Atletas!$J:$P,2,FALSE)=0,"",VLOOKUP($A70,Atletas!$J:$P,2,FALSE)),"")</f>
        <v/>
      </c>
      <c r="E70" s="81"/>
      <c r="F70" s="88">
        <f>IFERROR(HLOOKUP($B$2,Tab_Din_listagem!$A$2:$SY$333,144,0),"")</f>
        <v>0</v>
      </c>
      <c r="G70" s="89" t="str">
        <f>IFERROR(IF(VLOOKUP($F70,Atletas!$J:$P,4,FALSE)=0,"",VLOOKUP($F70,Atletas!$J:$P,4,FALSE)),"")</f>
        <v/>
      </c>
      <c r="H70" s="90" t="str">
        <f>IFERROR(IF(VLOOKUP($F70,Atletas!$J:$P,5,FALSE)=0,"",VLOOKUP($F70,Atletas!$J:$P,5,FALSE)),"")</f>
        <v/>
      </c>
      <c r="I70" s="86" t="str">
        <f>IFERROR(IF(VLOOKUP($F70,Atletas!$J:$P,2,FALSE)=0,"",VLOOKUP($F70,Atletas!$J:$P,2,FALSE)),"")</f>
        <v/>
      </c>
      <c r="J70" s="95"/>
      <c r="K70" s="95"/>
    </row>
    <row r="71" spans="1:11" ht="17" customHeight="1">
      <c r="A71" s="88">
        <f>IFERROR(HLOOKUP($B$2,Tab_Din_listagem!$A$2:$SY$333,120,0),"")</f>
        <v>0</v>
      </c>
      <c r="B71" s="89" t="str">
        <f>IFERROR(IF(VLOOKUP($A71,Atletas!$J:$P,4,FALSE)=0,"",VLOOKUP($A71,Atletas!$J:$P,4,FALSE)),"")</f>
        <v/>
      </c>
      <c r="C71" s="90" t="str">
        <f>IFERROR(IF(VLOOKUP($A71,Atletas!$J:$P,5,FALSE)=0,"",VLOOKUP($A71,Atletas!$J:$P,5,FALSE)),"")</f>
        <v/>
      </c>
      <c r="D71" s="86" t="str">
        <f>IFERROR(IF(VLOOKUP($A71,Atletas!$J:$P,2,FALSE)=0,"",VLOOKUP($A71,Atletas!$J:$P,2,FALSE)),"")</f>
        <v/>
      </c>
      <c r="E71" s="81"/>
      <c r="F71" s="88">
        <f>IFERROR(HLOOKUP($B$2,Tab_Din_listagem!$A$2:$SY$333,145,0),"")</f>
        <v>0</v>
      </c>
      <c r="G71" s="89" t="str">
        <f>IFERROR(IF(VLOOKUP($F71,Atletas!$J:$P,4,FALSE)=0,"",VLOOKUP($F71,Atletas!$J:$P,4,FALSE)),"")</f>
        <v/>
      </c>
      <c r="H71" s="90" t="str">
        <f>IFERROR(IF(VLOOKUP($F71,Atletas!$J:$P,5,FALSE)=0,"",VLOOKUP($F71,Atletas!$J:$P,5,FALSE)),"")</f>
        <v/>
      </c>
      <c r="I71" s="86" t="str">
        <f>IFERROR(IF(VLOOKUP($F71,Atletas!$J:$P,2,FALSE)=0,"",VLOOKUP($F71,Atletas!$J:$P,2,FALSE)),"")</f>
        <v/>
      </c>
      <c r="J71" s="95"/>
      <c r="K71" s="95"/>
    </row>
    <row r="72" spans="1:11" ht="17" customHeight="1">
      <c r="A72" s="88">
        <f>IFERROR(HLOOKUP($B$2,Tab_Din_listagem!$A$2:$SY$333,121,0),"")</f>
        <v>0</v>
      </c>
      <c r="B72" s="89" t="str">
        <f>IFERROR(IF(VLOOKUP($A72,Atletas!$J:$P,4,FALSE)=0,"",VLOOKUP($A72,Atletas!$J:$P,4,FALSE)),"")</f>
        <v/>
      </c>
      <c r="C72" s="90" t="str">
        <f>IFERROR(IF(VLOOKUP($A72,Atletas!$J:$P,5,FALSE)=0,"",VLOOKUP($A72,Atletas!$J:$P,5,FALSE)),"")</f>
        <v/>
      </c>
      <c r="D72" s="86" t="str">
        <f>IFERROR(IF(VLOOKUP($A72,Atletas!$J:$P,2,FALSE)=0,"",VLOOKUP($A72,Atletas!$J:$P,2,FALSE)),"")</f>
        <v/>
      </c>
      <c r="E72" s="81"/>
      <c r="F72" s="88">
        <f>IFERROR(HLOOKUP($B$2,Tab_Din_listagem!$A$2:$SY$333,146,0),"")</f>
        <v>0</v>
      </c>
      <c r="G72" s="89" t="str">
        <f>IFERROR(IF(VLOOKUP($F72,Atletas!$J:$P,4,FALSE)=0,"",VLOOKUP($F72,Atletas!$J:$P,4,FALSE)),"")</f>
        <v/>
      </c>
      <c r="H72" s="90" t="str">
        <f>IFERROR(IF(VLOOKUP($F72,Atletas!$J:$P,5,FALSE)=0,"",VLOOKUP($F72,Atletas!$J:$P,5,FALSE)),"")</f>
        <v/>
      </c>
      <c r="I72" s="86" t="str">
        <f>IFERROR(IF(VLOOKUP($F72,Atletas!$J:$P,2,FALSE)=0,"",VLOOKUP($F72,Atletas!$J:$P,2,FALSE)),"")</f>
        <v/>
      </c>
      <c r="J72" s="95"/>
      <c r="K72" s="95"/>
    </row>
    <row r="73" spans="1:11" ht="17" customHeight="1">
      <c r="A73" s="88">
        <f>IFERROR(HLOOKUP($B$2,Tab_Din_listagem!$A$2:$SY$333,122,0),"")</f>
        <v>0</v>
      </c>
      <c r="B73" s="89" t="str">
        <f>IFERROR(IF(VLOOKUP($A73,Atletas!$J:$P,4,FALSE)=0,"",VLOOKUP($A73,Atletas!$J:$P,4,FALSE)),"")</f>
        <v/>
      </c>
      <c r="C73" s="90" t="str">
        <f>IFERROR(IF(VLOOKUP($A73,Atletas!$J:$P,5,FALSE)=0,"",VLOOKUP($A73,Atletas!$J:$P,5,FALSE)),"")</f>
        <v/>
      </c>
      <c r="D73" s="86" t="str">
        <f>IFERROR(IF(VLOOKUP($A73,Atletas!$J:$P,2,FALSE)=0,"",VLOOKUP($A73,Atletas!$J:$P,2,FALSE)),"")</f>
        <v/>
      </c>
      <c r="E73" s="81"/>
      <c r="F73" s="88">
        <f>IFERROR(HLOOKUP($B$2,Tab_Din_listagem!$A$2:$SY$333,147,0),"")</f>
        <v>0</v>
      </c>
      <c r="G73" s="89" t="str">
        <f>IFERROR(IF(VLOOKUP($F73,Atletas!$J:$P,4,FALSE)=0,"",VLOOKUP($F73,Atletas!$J:$P,4,FALSE)),"")</f>
        <v/>
      </c>
      <c r="H73" s="90" t="str">
        <f>IFERROR(IF(VLOOKUP($F73,Atletas!$J:$P,5,FALSE)=0,"",VLOOKUP($F73,Atletas!$J:$P,5,FALSE)),"")</f>
        <v/>
      </c>
      <c r="I73" s="86" t="str">
        <f>IFERROR(IF(VLOOKUP($F73,Atletas!$J:$P,2,FALSE)=0,"",VLOOKUP($F73,Atletas!$J:$P,2,FALSE)),"")</f>
        <v/>
      </c>
      <c r="J73" s="95"/>
      <c r="K73" s="95"/>
    </row>
    <row r="74" spans="1:11" ht="17" customHeight="1">
      <c r="A74" s="88">
        <f>IFERROR(HLOOKUP($B$2,Tab_Din_listagem!$A$2:$SY$333,123,0),"")</f>
        <v>0</v>
      </c>
      <c r="B74" s="89" t="str">
        <f>IFERROR(IF(VLOOKUP($A74,Atletas!$J:$P,4,FALSE)=0,"",VLOOKUP($A74,Atletas!$J:$P,4,FALSE)),"")</f>
        <v/>
      </c>
      <c r="C74" s="90" t="str">
        <f>IFERROR(IF(VLOOKUP($A74,Atletas!$J:$P,5,FALSE)=0,"",VLOOKUP($A74,Atletas!$J:$P,5,FALSE)),"")</f>
        <v/>
      </c>
      <c r="D74" s="86" t="str">
        <f>IFERROR(IF(VLOOKUP($A74,Atletas!$J:$P,2,FALSE)=0,"",VLOOKUP($A74,Atletas!$J:$P,2,FALSE)),"")</f>
        <v/>
      </c>
      <c r="E74" s="81"/>
      <c r="F74" s="88">
        <f>IFERROR(HLOOKUP($B$2,Tab_Din_listagem!$A$2:$SY$333,148,0),"")</f>
        <v>0</v>
      </c>
      <c r="G74" s="89" t="str">
        <f>IFERROR(IF(VLOOKUP($F74,Atletas!$J:$P,4,FALSE)=0,"",VLOOKUP($F74,Atletas!$J:$P,4,FALSE)),"")</f>
        <v/>
      </c>
      <c r="H74" s="90" t="str">
        <f>IFERROR(IF(VLOOKUP($F74,Atletas!$J:$P,5,FALSE)=0,"",VLOOKUP($F74,Atletas!$J:$P,5,FALSE)),"")</f>
        <v/>
      </c>
      <c r="I74" s="86" t="str">
        <f>IFERROR(IF(VLOOKUP($F74,Atletas!$J:$P,2,FALSE)=0,"",VLOOKUP($F74,Atletas!$J:$P,2,FALSE)),"")</f>
        <v/>
      </c>
      <c r="J74" s="95"/>
      <c r="K74" s="95"/>
    </row>
    <row r="75" spans="1:11" ht="17" customHeight="1">
      <c r="A75" s="88">
        <f>IFERROR(HLOOKUP($B$2,Tab_Din_listagem!$A$2:$SY$333,124,0),"")</f>
        <v>0</v>
      </c>
      <c r="B75" s="89" t="str">
        <f>IFERROR(IF(VLOOKUP($A75,Atletas!$J:$P,4,FALSE)=0,"",VLOOKUP($A75,Atletas!$J:$P,4,FALSE)),"")</f>
        <v/>
      </c>
      <c r="C75" s="90" t="str">
        <f>IFERROR(IF(VLOOKUP($A75,Atletas!$J:$P,5,FALSE)=0,"",VLOOKUP($A75,Atletas!$J:$P,5,FALSE)),"")</f>
        <v/>
      </c>
      <c r="D75" s="86" t="str">
        <f>IFERROR(IF(VLOOKUP($A75,Atletas!$J:$P,2,FALSE)=0,"",VLOOKUP($A75,Atletas!$J:$P,2,FALSE)),"")</f>
        <v/>
      </c>
      <c r="E75" s="81"/>
      <c r="F75" s="88">
        <f>IFERROR(HLOOKUP($B$2,Tab_Din_listagem!$A$2:$SY$333,149,0),"")</f>
        <v>0</v>
      </c>
      <c r="G75" s="89" t="str">
        <f>IFERROR(IF(VLOOKUP($F75,Atletas!$J:$P,4,FALSE)=0,"",VLOOKUP($F75,Atletas!$J:$P,4,FALSE)),"")</f>
        <v/>
      </c>
      <c r="H75" s="90" t="str">
        <f>IFERROR(IF(VLOOKUP($F75,Atletas!$J:$P,5,FALSE)=0,"",VLOOKUP($F75,Atletas!$J:$P,5,FALSE)),"")</f>
        <v/>
      </c>
      <c r="I75" s="86" t="str">
        <f>IFERROR(IF(VLOOKUP($F75,Atletas!$J:$P,2,FALSE)=0,"",VLOOKUP($F75,Atletas!$J:$P,2,FALSE)),"")</f>
        <v/>
      </c>
      <c r="J75" s="95"/>
      <c r="K75" s="95"/>
    </row>
    <row r="76" spans="1:11" ht="17" customHeight="1">
      <c r="A76" s="88">
        <f>IFERROR(HLOOKUP($B$2,Tab_Din_listagem!$A$2:$SY$333,125,0),"")</f>
        <v>0</v>
      </c>
      <c r="B76" s="89" t="str">
        <f>IFERROR(IF(VLOOKUP($A76,Atletas!$J:$P,4,FALSE)=0,"",VLOOKUP($A76,Atletas!$J:$P,4,FALSE)),"")</f>
        <v/>
      </c>
      <c r="C76" s="90" t="str">
        <f>IFERROR(IF(VLOOKUP($A76,Atletas!$J:$P,5,FALSE)=0,"",VLOOKUP($A76,Atletas!$J:$P,5,FALSE)),"")</f>
        <v/>
      </c>
      <c r="D76" s="86" t="str">
        <f>IFERROR(IF(VLOOKUP($A76,Atletas!$J:$P,2,FALSE)=0,"",VLOOKUP($A76,Atletas!$J:$P,2,FALSE)),"")</f>
        <v/>
      </c>
      <c r="E76" s="81"/>
      <c r="F76" s="88">
        <f>IFERROR(HLOOKUP($B$2,Tab_Din_listagem!$A$2:$SY$333,150,0),"")</f>
        <v>0</v>
      </c>
      <c r="G76" s="89" t="str">
        <f>IFERROR(IF(VLOOKUP($F76,Atletas!$J:$P,4,FALSE)=0,"",VLOOKUP($F76,Atletas!$J:$P,4,FALSE)),"")</f>
        <v/>
      </c>
      <c r="H76" s="90" t="str">
        <f>IFERROR(IF(VLOOKUP($F76,Atletas!$J:$P,5,FALSE)=0,"",VLOOKUP($F76,Atletas!$J:$P,5,FALSE)),"")</f>
        <v/>
      </c>
      <c r="I76" s="86" t="str">
        <f>IFERROR(IF(VLOOKUP($F76,Atletas!$J:$P,2,FALSE)=0,"",VLOOKUP($F76,Atletas!$J:$P,2,FALSE)),"")</f>
        <v/>
      </c>
      <c r="J76" s="95"/>
      <c r="K76" s="95"/>
    </row>
    <row r="77" spans="1:11" ht="17" customHeight="1">
      <c r="A77" s="88">
        <f>IFERROR(HLOOKUP($B$2,Tab_Din_listagem!$A$2:$SY$333,126,0),"")</f>
        <v>0</v>
      </c>
      <c r="B77" s="89" t="str">
        <f>IFERROR(IF(VLOOKUP($A77,Atletas!$J:$P,4,FALSE)=0,"",VLOOKUP($A77,Atletas!$J:$P,4,FALSE)),"")</f>
        <v/>
      </c>
      <c r="C77" s="90" t="str">
        <f>IFERROR(IF(VLOOKUP($A77,Atletas!$J:$P,5,FALSE)=0,"",VLOOKUP($A77,Atletas!$J:$P,5,FALSE)),"")</f>
        <v/>
      </c>
      <c r="D77" s="86" t="str">
        <f>IFERROR(IF(VLOOKUP($A77,Atletas!$J:$P,2,FALSE)=0,"",VLOOKUP($A77,Atletas!$J:$P,2,FALSE)),"")</f>
        <v/>
      </c>
      <c r="E77" s="81"/>
      <c r="F77" s="88">
        <f>IFERROR(HLOOKUP($B$2,Tab_Din_listagem!$A$2:$SY$333,151,0),"")</f>
        <v>0</v>
      </c>
      <c r="G77" s="89" t="str">
        <f>IFERROR(IF(VLOOKUP($F77,Atletas!$J:$P,4,FALSE)=0,"",VLOOKUP($F77,Atletas!$J:$P,4,FALSE)),"")</f>
        <v/>
      </c>
      <c r="H77" s="90" t="str">
        <f>IFERROR(IF(VLOOKUP($F77,Atletas!$J:$P,5,FALSE)=0,"",VLOOKUP($F77,Atletas!$J:$P,5,FALSE)),"")</f>
        <v/>
      </c>
      <c r="I77" s="86" t="str">
        <f>IFERROR(IF(VLOOKUP($F77,Atletas!$J:$P,2,FALSE)=0,"",VLOOKUP($F77,Atletas!$J:$P,2,FALSE)),"")</f>
        <v/>
      </c>
      <c r="J77" s="95"/>
      <c r="K77" s="95"/>
    </row>
    <row r="78" spans="1:11" ht="17" customHeight="1">
      <c r="A78" s="88">
        <f>IFERROR(HLOOKUP($B$2,Tab_Din_listagem!$A$2:$SY$333,127,0),"")</f>
        <v>0</v>
      </c>
      <c r="B78" s="89" t="str">
        <f>IFERROR(IF(VLOOKUP($A78,Atletas!$J:$P,4,FALSE)=0,"",VLOOKUP($A78,Atletas!$J:$P,4,FALSE)),"")</f>
        <v/>
      </c>
      <c r="C78" s="90" t="str">
        <f>IFERROR(IF(VLOOKUP($A78,Atletas!$J:$P,5,FALSE)=0,"",VLOOKUP($A78,Atletas!$J:$P,5,FALSE)),"")</f>
        <v/>
      </c>
      <c r="D78" s="86" t="str">
        <f>IFERROR(IF(VLOOKUP($A78,Atletas!$J:$P,2,FALSE)=0,"",VLOOKUP($A78,Atletas!$J:$P,2,FALSE)),"")</f>
        <v/>
      </c>
      <c r="E78" s="81"/>
      <c r="F78" s="88">
        <f>IFERROR(HLOOKUP($B$2,Tab_Din_listagem!$A$2:$SY$333,152,0),"")</f>
        <v>0</v>
      </c>
      <c r="G78" s="89" t="str">
        <f>IFERROR(IF(VLOOKUP($F78,Atletas!$J:$P,4,FALSE)=0,"",VLOOKUP($F78,Atletas!$J:$P,4,FALSE)),"")</f>
        <v/>
      </c>
      <c r="H78" s="90" t="str">
        <f>IFERROR(IF(VLOOKUP($F78,Atletas!$J:$P,5,FALSE)=0,"",VLOOKUP($F78,Atletas!$J:$P,5,FALSE)),"")</f>
        <v/>
      </c>
      <c r="I78" s="86" t="str">
        <f>IFERROR(IF(VLOOKUP($F78,Atletas!$J:$P,2,FALSE)=0,"",VLOOKUP($F78,Atletas!$J:$P,2,FALSE)),"")</f>
        <v/>
      </c>
      <c r="J78" s="95"/>
      <c r="K78" s="95"/>
    </row>
    <row r="79" spans="1:11" ht="17" customHeight="1">
      <c r="A79" s="91">
        <f>IFERROR(HLOOKUP($B$2,Tab_Din_listagem!$A$2:$SY$333,128,0),"")</f>
        <v>0</v>
      </c>
      <c r="B79" s="92" t="str">
        <f>IFERROR(IF(VLOOKUP($A79,Atletas!$J:$P,4,FALSE)=0,"",VLOOKUP($A79,Atletas!$J:$P,4,FALSE)),"")</f>
        <v/>
      </c>
      <c r="C79" s="93" t="str">
        <f>IFERROR(IF(VLOOKUP($A79,Atletas!$J:$P,5,FALSE)=0,"",VLOOKUP($A79,Atletas!$J:$P,5,FALSE)),"")</f>
        <v/>
      </c>
      <c r="D79" s="94" t="str">
        <f>IFERROR(IF(VLOOKUP($A79,Atletas!$J:$P,2,FALSE)=0,"",VLOOKUP($A79,Atletas!$J:$P,2,FALSE)),"")</f>
        <v/>
      </c>
      <c r="E79" s="81"/>
      <c r="F79" s="91">
        <f>IFERROR(HLOOKUP($B$2,Tab_Din_listagem!$A$2:$SY$333,153,0),"")</f>
        <v>0</v>
      </c>
      <c r="G79" s="92" t="str">
        <f>IFERROR(IF(VLOOKUP($F79,Atletas!$J:$P,4,FALSE)=0,"",VLOOKUP($F79,Atletas!$J:$P,4,FALSE)),"")</f>
        <v/>
      </c>
      <c r="H79" s="93" t="str">
        <f>IFERROR(IF(VLOOKUP($F79,Atletas!$J:$P,5,FALSE)=0,"",VLOOKUP($F79,Atletas!$J:$P,5,FALSE)),"")</f>
        <v/>
      </c>
      <c r="I79" s="94" t="str">
        <f>IFERROR(IF(VLOOKUP($F79,Atletas!$J:$P,2,FALSE)=0,"",VLOOKUP($F79,Atletas!$J:$P,2,FALSE)),"")</f>
        <v/>
      </c>
      <c r="J79" s="95"/>
      <c r="K79" s="95"/>
    </row>
    <row r="80" spans="1:11" ht="17" customHeight="1">
      <c r="A80" s="88">
        <f>IFERROR(HLOOKUP($B$2,Tab_Din_listagem!$A$2:$SY$333,154,0),"")</f>
        <v>0</v>
      </c>
      <c r="B80" s="89" t="str">
        <f>IFERROR(IF(VLOOKUP($A80,Atletas!$J:$P,4,FALSE)=0,"",VLOOKUP($A80,Atletas!$J:$P,4,FALSE)),"")</f>
        <v/>
      </c>
      <c r="C80" s="90" t="str">
        <f>IFERROR(IF(VLOOKUP($A80,Atletas!$J:$P,5,FALSE)=0,"",VLOOKUP($A80,Atletas!$J:$P,5,FALSE)),"")</f>
        <v/>
      </c>
      <c r="D80" s="86" t="str">
        <f>IFERROR(IF(VLOOKUP($A80,Atletas!$J:$P,2,FALSE)=0,"",VLOOKUP($A80,Atletas!$J:$P,2,FALSE)),"")</f>
        <v/>
      </c>
      <c r="E80" s="81"/>
      <c r="F80" s="88">
        <f>IFERROR(HLOOKUP($B$2,Tab_Din_listagem!$A$2:$SY$333,179,0),"")</f>
        <v>0</v>
      </c>
      <c r="G80" s="89" t="str">
        <f>IFERROR(IF(VLOOKUP($F80,Atletas!$J:$P,4,FALSE)=0,"",VLOOKUP($F80,Atletas!$J:$P,4,FALSE)),"")</f>
        <v/>
      </c>
      <c r="H80" s="90" t="str">
        <f>IFERROR(IF(VLOOKUP($F80,Atletas!$J:$P,5,FALSE)=0,"",VLOOKUP($F80,Atletas!$J:$P,5,FALSE)),"")</f>
        <v/>
      </c>
      <c r="I80" s="86" t="str">
        <f>IFERROR(IF(VLOOKUP($F80,Atletas!$J:$P,2,FALSE)=0,"",VLOOKUP($F80,Atletas!$J:$P,2,FALSE)),"")</f>
        <v/>
      </c>
      <c r="J80" s="95"/>
      <c r="K80" s="95"/>
    </row>
    <row r="81" spans="1:11" ht="17" customHeight="1">
      <c r="A81" s="88">
        <f>IFERROR(HLOOKUP($B$2,Tab_Din_listagem!$A$2:$SY$333,155,0),"")</f>
        <v>0</v>
      </c>
      <c r="B81" s="89" t="str">
        <f>IFERROR(IF(VLOOKUP($A81,Atletas!$J:$P,4,FALSE)=0,"",VLOOKUP($A81,Atletas!$J:$P,4,FALSE)),"")</f>
        <v/>
      </c>
      <c r="C81" s="90" t="str">
        <f>IFERROR(IF(VLOOKUP($A81,Atletas!$J:$P,5,FALSE)=0,"",VLOOKUP($A81,Atletas!$J:$P,5,FALSE)),"")</f>
        <v/>
      </c>
      <c r="D81" s="86" t="str">
        <f>IFERROR(IF(VLOOKUP($A81,Atletas!$J:$P,2,FALSE)=0,"",VLOOKUP($A81,Atletas!$J:$P,2,FALSE)),"")</f>
        <v/>
      </c>
      <c r="E81" s="81"/>
      <c r="F81" s="88">
        <f>IFERROR(HLOOKUP($B$2,Tab_Din_listagem!$A$2:$SY$333,180,0),"")</f>
        <v>0</v>
      </c>
      <c r="G81" s="89" t="str">
        <f>IFERROR(IF(VLOOKUP($F81,Atletas!$J:$P,4,FALSE)=0,"",VLOOKUP($F81,Atletas!$J:$P,4,FALSE)),"")</f>
        <v/>
      </c>
      <c r="H81" s="90" t="str">
        <f>IFERROR(IF(VLOOKUP($F81,Atletas!$J:$P,5,FALSE)=0,"",VLOOKUP($F81,Atletas!$J:$P,5,FALSE)),"")</f>
        <v/>
      </c>
      <c r="I81" s="86" t="str">
        <f>IFERROR(IF(VLOOKUP($F81,Atletas!$J:$P,2,FALSE)=0,"",VLOOKUP($F81,Atletas!$J:$P,2,FALSE)),"")</f>
        <v/>
      </c>
      <c r="J81" s="95"/>
      <c r="K81" s="95"/>
    </row>
    <row r="82" spans="1:11" ht="17" customHeight="1">
      <c r="A82" s="88">
        <f>IFERROR(HLOOKUP($B$2,Tab_Din_listagem!$A$2:$SY$333,156,0),"")</f>
        <v>0</v>
      </c>
      <c r="B82" s="89" t="str">
        <f>IFERROR(IF(VLOOKUP($A82,Atletas!$J:$P,4,FALSE)=0,"",VLOOKUP($A82,Atletas!$J:$P,4,FALSE)),"")</f>
        <v/>
      </c>
      <c r="C82" s="90" t="str">
        <f>IFERROR(IF(VLOOKUP($A82,Atletas!$J:$P,5,FALSE)=0,"",VLOOKUP($A82,Atletas!$J:$P,5,FALSE)),"")</f>
        <v/>
      </c>
      <c r="D82" s="86" t="str">
        <f>IFERROR(IF(VLOOKUP($A82,Atletas!$J:$P,2,FALSE)=0,"",VLOOKUP($A82,Atletas!$J:$P,2,FALSE)),"")</f>
        <v/>
      </c>
      <c r="E82" s="81"/>
      <c r="F82" s="88">
        <f>IFERROR(HLOOKUP($B$2,Tab_Din_listagem!$A$2:$SY$333,181,0),"")</f>
        <v>0</v>
      </c>
      <c r="G82" s="89" t="str">
        <f>IFERROR(IF(VLOOKUP($F82,Atletas!$J:$P,4,FALSE)=0,"",VLOOKUP($F82,Atletas!$J:$P,4,FALSE)),"")</f>
        <v/>
      </c>
      <c r="H82" s="90" t="str">
        <f>IFERROR(IF(VLOOKUP($F82,Atletas!$J:$P,5,FALSE)=0,"",VLOOKUP($F82,Atletas!$J:$P,5,FALSE)),"")</f>
        <v/>
      </c>
      <c r="I82" s="86" t="str">
        <f>IFERROR(IF(VLOOKUP($F82,Atletas!$J:$P,2,FALSE)=0,"",VLOOKUP($F82,Atletas!$J:$P,2,FALSE)),"")</f>
        <v/>
      </c>
      <c r="J82" s="95"/>
      <c r="K82" s="95"/>
    </row>
    <row r="83" spans="1:11" ht="17" customHeight="1">
      <c r="A83" s="88">
        <f>IFERROR(HLOOKUP($B$2,Tab_Din_listagem!$A$2:$SY$333,157,0),"")</f>
        <v>0</v>
      </c>
      <c r="B83" s="89" t="str">
        <f>IFERROR(IF(VLOOKUP($A83,Atletas!$J:$P,4,FALSE)=0,"",VLOOKUP($A83,Atletas!$J:$P,4,FALSE)),"")</f>
        <v/>
      </c>
      <c r="C83" s="90" t="str">
        <f>IFERROR(IF(VLOOKUP($A83,Atletas!$J:$P,5,FALSE)=0,"",VLOOKUP($A83,Atletas!$J:$P,5,FALSE)),"")</f>
        <v/>
      </c>
      <c r="D83" s="86" t="str">
        <f>IFERROR(IF(VLOOKUP($A83,Atletas!$J:$P,2,FALSE)=0,"",VLOOKUP($A83,Atletas!$J:$P,2,FALSE)),"")</f>
        <v/>
      </c>
      <c r="E83" s="81"/>
      <c r="F83" s="88">
        <f>IFERROR(HLOOKUP($B$2,Tab_Din_listagem!$A$2:$SY$333,182,0),"")</f>
        <v>0</v>
      </c>
      <c r="G83" s="89" t="str">
        <f>IFERROR(IF(VLOOKUP($F83,Atletas!$J:$P,4,FALSE)=0,"",VLOOKUP($F83,Atletas!$J:$P,4,FALSE)),"")</f>
        <v/>
      </c>
      <c r="H83" s="90" t="str">
        <f>IFERROR(IF(VLOOKUP($F83,Atletas!$J:$P,5,FALSE)=0,"",VLOOKUP($F83,Atletas!$J:$P,5,FALSE)),"")</f>
        <v/>
      </c>
      <c r="I83" s="86" t="str">
        <f>IFERROR(IF(VLOOKUP($F83,Atletas!$J:$P,2,FALSE)=0,"",VLOOKUP($F83,Atletas!$J:$P,2,FALSE)),"")</f>
        <v/>
      </c>
      <c r="J83" s="95"/>
      <c r="K83" s="95"/>
    </row>
    <row r="84" spans="1:11" ht="17" customHeight="1">
      <c r="A84" s="88">
        <f>IFERROR(HLOOKUP($B$2,Tab_Din_listagem!$A$2:$SY$333,158,0),"")</f>
        <v>0</v>
      </c>
      <c r="B84" s="89" t="str">
        <f>IFERROR(IF(VLOOKUP($A84,Atletas!$J:$P,4,FALSE)=0,"",VLOOKUP($A84,Atletas!$J:$P,4,FALSE)),"")</f>
        <v/>
      </c>
      <c r="C84" s="90" t="str">
        <f>IFERROR(IF(VLOOKUP($A84,Atletas!$J:$P,5,FALSE)=0,"",VLOOKUP($A84,Atletas!$J:$P,5,FALSE)),"")</f>
        <v/>
      </c>
      <c r="D84" s="86" t="str">
        <f>IFERROR(IF(VLOOKUP($A84,Atletas!$J:$P,2,FALSE)=0,"",VLOOKUP($A84,Atletas!$J:$P,2,FALSE)),"")</f>
        <v/>
      </c>
      <c r="E84" s="81"/>
      <c r="F84" s="88">
        <f>IFERROR(HLOOKUP($B$2,Tab_Din_listagem!$A$2:$SY$333,183,0),"")</f>
        <v>0</v>
      </c>
      <c r="G84" s="89" t="str">
        <f>IFERROR(IF(VLOOKUP($F84,Atletas!$J:$P,4,FALSE)=0,"",VLOOKUP($F84,Atletas!$J:$P,4,FALSE)),"")</f>
        <v/>
      </c>
      <c r="H84" s="90" t="str">
        <f>IFERROR(IF(VLOOKUP($F84,Atletas!$J:$P,5,FALSE)=0,"",VLOOKUP($F84,Atletas!$J:$P,5,FALSE)),"")</f>
        <v/>
      </c>
      <c r="I84" s="86" t="str">
        <f>IFERROR(IF(VLOOKUP($F84,Atletas!$J:$P,2,FALSE)=0,"",VLOOKUP($F84,Atletas!$J:$P,2,FALSE)),"")</f>
        <v/>
      </c>
      <c r="J84" s="95"/>
      <c r="K84" s="95"/>
    </row>
    <row r="85" spans="1:11" ht="17" customHeight="1">
      <c r="A85" s="88">
        <f>IFERROR(HLOOKUP($B$2,Tab_Din_listagem!$A$2:$SY$333,159,0),"")</f>
        <v>0</v>
      </c>
      <c r="B85" s="89" t="str">
        <f>IFERROR(IF(VLOOKUP($A85,Atletas!$J:$P,4,FALSE)=0,"",VLOOKUP($A85,Atletas!$J:$P,4,FALSE)),"")</f>
        <v/>
      </c>
      <c r="C85" s="90" t="str">
        <f>IFERROR(IF(VLOOKUP($A85,Atletas!$J:$P,5,FALSE)=0,"",VLOOKUP($A85,Atletas!$J:$P,5,FALSE)),"")</f>
        <v/>
      </c>
      <c r="D85" s="86" t="str">
        <f>IFERROR(IF(VLOOKUP($A85,Atletas!$J:$P,2,FALSE)=0,"",VLOOKUP($A85,Atletas!$J:$P,2,FALSE)),"")</f>
        <v/>
      </c>
      <c r="E85" s="81"/>
      <c r="F85" s="88">
        <f>IFERROR(HLOOKUP($B$2,Tab_Din_listagem!$A$2:$SY$333,184,0),"")</f>
        <v>0</v>
      </c>
      <c r="G85" s="89" t="str">
        <f>IFERROR(IF(VLOOKUP($F85,Atletas!$J:$P,4,FALSE)=0,"",VLOOKUP($F85,Atletas!$J:$P,4,FALSE)),"")</f>
        <v/>
      </c>
      <c r="H85" s="90" t="str">
        <f>IFERROR(IF(VLOOKUP($F85,Atletas!$J:$P,5,FALSE)=0,"",VLOOKUP($F85,Atletas!$J:$P,5,FALSE)),"")</f>
        <v/>
      </c>
      <c r="I85" s="86" t="str">
        <f>IFERROR(IF(VLOOKUP($F85,Atletas!$J:$P,2,FALSE)=0,"",VLOOKUP($F85,Atletas!$J:$P,2,FALSE)),"")</f>
        <v/>
      </c>
      <c r="J85" s="95"/>
      <c r="K85" s="95"/>
    </row>
    <row r="86" spans="1:11" ht="17" customHeight="1">
      <c r="A86" s="88">
        <f>IFERROR(HLOOKUP($B$2,Tab_Din_listagem!$A$2:$SY$333,160,0),"")</f>
        <v>0</v>
      </c>
      <c r="B86" s="89" t="str">
        <f>IFERROR(IF(VLOOKUP($A86,Atletas!$J:$P,4,FALSE)=0,"",VLOOKUP($A86,Atletas!$J:$P,4,FALSE)),"")</f>
        <v/>
      </c>
      <c r="C86" s="90" t="str">
        <f>IFERROR(IF(VLOOKUP($A86,Atletas!$J:$P,5,FALSE)=0,"",VLOOKUP($A86,Atletas!$J:$P,5,FALSE)),"")</f>
        <v/>
      </c>
      <c r="D86" s="86" t="str">
        <f>IFERROR(IF(VLOOKUP($A86,Atletas!$J:$P,2,FALSE)=0,"",VLOOKUP($A86,Atletas!$J:$P,2,FALSE)),"")</f>
        <v/>
      </c>
      <c r="E86" s="81"/>
      <c r="F86" s="88">
        <f>IFERROR(HLOOKUP($B$2,Tab_Din_listagem!$A$2:$SY$333,185,0),"")</f>
        <v>0</v>
      </c>
      <c r="G86" s="89" t="str">
        <f>IFERROR(IF(VLOOKUP($F86,Atletas!$J:$P,4,FALSE)=0,"",VLOOKUP($F86,Atletas!$J:$P,4,FALSE)),"")</f>
        <v/>
      </c>
      <c r="H86" s="90" t="str">
        <f>IFERROR(IF(VLOOKUP($F86,Atletas!$J:$P,5,FALSE)=0,"",VLOOKUP($F86,Atletas!$J:$P,5,FALSE)),"")</f>
        <v/>
      </c>
      <c r="I86" s="86" t="str">
        <f>IFERROR(IF(VLOOKUP($F86,Atletas!$J:$P,2,FALSE)=0,"",VLOOKUP($F86,Atletas!$J:$P,2,FALSE)),"")</f>
        <v/>
      </c>
      <c r="J86" s="95"/>
      <c r="K86" s="95"/>
    </row>
    <row r="87" spans="1:11" ht="17" customHeight="1">
      <c r="A87" s="88">
        <f>IFERROR(HLOOKUP($B$2,Tab_Din_listagem!$A$2:$SY$333,161,0),"")</f>
        <v>0</v>
      </c>
      <c r="B87" s="89" t="str">
        <f>IFERROR(IF(VLOOKUP($A87,Atletas!$J:$P,4,FALSE)=0,"",VLOOKUP($A87,Atletas!$J:$P,4,FALSE)),"")</f>
        <v/>
      </c>
      <c r="C87" s="90" t="str">
        <f>IFERROR(IF(VLOOKUP($A87,Atletas!$J:$P,5,FALSE)=0,"",VLOOKUP($A87,Atletas!$J:$P,5,FALSE)),"")</f>
        <v/>
      </c>
      <c r="D87" s="86" t="str">
        <f>IFERROR(IF(VLOOKUP($A87,Atletas!$J:$P,2,FALSE)=0,"",VLOOKUP($A87,Atletas!$J:$P,2,FALSE)),"")</f>
        <v/>
      </c>
      <c r="E87" s="81"/>
      <c r="F87" s="88">
        <f>IFERROR(HLOOKUP($B$2,Tab_Din_listagem!$A$2:$SY$333,186,0),"")</f>
        <v>0</v>
      </c>
      <c r="G87" s="89" t="str">
        <f>IFERROR(IF(VLOOKUP($F87,Atletas!$J:$P,4,FALSE)=0,"",VLOOKUP($F87,Atletas!$J:$P,4,FALSE)),"")</f>
        <v/>
      </c>
      <c r="H87" s="90" t="str">
        <f>IFERROR(IF(VLOOKUP($F87,Atletas!$J:$P,5,FALSE)=0,"",VLOOKUP($F87,Atletas!$J:$P,5,FALSE)),"")</f>
        <v/>
      </c>
      <c r="I87" s="86" t="str">
        <f>IFERROR(IF(VLOOKUP($F87,Atletas!$J:$P,2,FALSE)=0,"",VLOOKUP($F87,Atletas!$J:$P,2,FALSE)),"")</f>
        <v/>
      </c>
      <c r="J87" s="95"/>
      <c r="K87" s="95"/>
    </row>
    <row r="88" spans="1:11" ht="17" customHeight="1">
      <c r="A88" s="88">
        <f>IFERROR(HLOOKUP($B$2,Tab_Din_listagem!$A$2:$SY$333,162,0),"")</f>
        <v>0</v>
      </c>
      <c r="B88" s="89" t="str">
        <f>IFERROR(IF(VLOOKUP($A88,Atletas!$J:$P,4,FALSE)=0,"",VLOOKUP($A88,Atletas!$J:$P,4,FALSE)),"")</f>
        <v/>
      </c>
      <c r="C88" s="90" t="str">
        <f>IFERROR(IF(VLOOKUP($A88,Atletas!$J:$P,5,FALSE)=0,"",VLOOKUP($A88,Atletas!$J:$P,5,FALSE)),"")</f>
        <v/>
      </c>
      <c r="D88" s="86" t="str">
        <f>IFERROR(IF(VLOOKUP($A88,Atletas!$J:$P,2,FALSE)=0,"",VLOOKUP($A88,Atletas!$J:$P,2,FALSE)),"")</f>
        <v/>
      </c>
      <c r="E88" s="81"/>
      <c r="F88" s="88">
        <f>IFERROR(HLOOKUP($B$2,Tab_Din_listagem!$A$2:$SY$333,187,0),"")</f>
        <v>0</v>
      </c>
      <c r="G88" s="89" t="str">
        <f>IFERROR(IF(VLOOKUP($F88,Atletas!$J:$P,4,FALSE)=0,"",VLOOKUP($F88,Atletas!$J:$P,4,FALSE)),"")</f>
        <v/>
      </c>
      <c r="H88" s="90" t="str">
        <f>IFERROR(IF(VLOOKUP($F88,Atletas!$J:$P,5,FALSE)=0,"",VLOOKUP($F88,Atletas!$J:$P,5,FALSE)),"")</f>
        <v/>
      </c>
      <c r="I88" s="86" t="str">
        <f>IFERROR(IF(VLOOKUP($F88,Atletas!$J:$P,2,FALSE)=0,"",VLOOKUP($F88,Atletas!$J:$P,2,FALSE)),"")</f>
        <v/>
      </c>
      <c r="J88" s="95"/>
      <c r="K88" s="95"/>
    </row>
    <row r="89" spans="1:11" ht="17" customHeight="1">
      <c r="A89" s="88">
        <f>IFERROR(HLOOKUP($B$2,Tab_Din_listagem!$A$2:$SY$333,163,0),"")</f>
        <v>0</v>
      </c>
      <c r="B89" s="89" t="str">
        <f>IFERROR(IF(VLOOKUP($A89,Atletas!$J:$P,4,FALSE)=0,"",VLOOKUP($A89,Atletas!$J:$P,4,FALSE)),"")</f>
        <v/>
      </c>
      <c r="C89" s="90" t="str">
        <f>IFERROR(IF(VLOOKUP($A89,Atletas!$J:$P,5,FALSE)=0,"",VLOOKUP($A89,Atletas!$J:$P,5,FALSE)),"")</f>
        <v/>
      </c>
      <c r="D89" s="86" t="str">
        <f>IFERROR(IF(VLOOKUP($A89,Atletas!$J:$P,2,FALSE)=0,"",VLOOKUP($A89,Atletas!$J:$P,2,FALSE)),"")</f>
        <v/>
      </c>
      <c r="E89" s="81"/>
      <c r="F89" s="88">
        <f>IFERROR(HLOOKUP($B$2,Tab_Din_listagem!$A$2:$SY$333,188,0),"")</f>
        <v>0</v>
      </c>
      <c r="G89" s="89" t="str">
        <f>IFERROR(IF(VLOOKUP($F89,Atletas!$J:$P,4,FALSE)=0,"",VLOOKUP($F89,Atletas!$J:$P,4,FALSE)),"")</f>
        <v/>
      </c>
      <c r="H89" s="90" t="str">
        <f>IFERROR(IF(VLOOKUP($F89,Atletas!$J:$P,5,FALSE)=0,"",VLOOKUP($F89,Atletas!$J:$P,5,FALSE)),"")</f>
        <v/>
      </c>
      <c r="I89" s="86" t="str">
        <f>IFERROR(IF(VLOOKUP($F89,Atletas!$J:$P,2,FALSE)=0,"",VLOOKUP($F89,Atletas!$J:$P,2,FALSE)),"")</f>
        <v/>
      </c>
      <c r="J89" s="95"/>
      <c r="K89" s="95"/>
    </row>
    <row r="90" spans="1:11" ht="17" customHeight="1">
      <c r="A90" s="88">
        <f>IFERROR(HLOOKUP($B$2,Tab_Din_listagem!$A$2:$SY$333,164,0),"")</f>
        <v>0</v>
      </c>
      <c r="B90" s="89" t="str">
        <f>IFERROR(IF(VLOOKUP($A90,Atletas!$J:$P,4,FALSE)=0,"",VLOOKUP($A90,Atletas!$J:$P,4,FALSE)),"")</f>
        <v/>
      </c>
      <c r="C90" s="90" t="str">
        <f>IFERROR(IF(VLOOKUP($A90,Atletas!$J:$P,5,FALSE)=0,"",VLOOKUP($A90,Atletas!$J:$P,5,FALSE)),"")</f>
        <v/>
      </c>
      <c r="D90" s="86" t="str">
        <f>IFERROR(IF(VLOOKUP($A90,Atletas!$J:$P,2,FALSE)=0,"",VLOOKUP($A90,Atletas!$J:$P,2,FALSE)),"")</f>
        <v/>
      </c>
      <c r="E90" s="81"/>
      <c r="F90" s="88">
        <f>IFERROR(HLOOKUP($B$2,Tab_Din_listagem!$A$2:$SY$333,189,0),"")</f>
        <v>0</v>
      </c>
      <c r="G90" s="89" t="str">
        <f>IFERROR(IF(VLOOKUP($F90,Atletas!$J:$P,4,FALSE)=0,"",VLOOKUP($F90,Atletas!$J:$P,4,FALSE)),"")</f>
        <v/>
      </c>
      <c r="H90" s="90" t="str">
        <f>IFERROR(IF(VLOOKUP($F90,Atletas!$J:$P,5,FALSE)=0,"",VLOOKUP($F90,Atletas!$J:$P,5,FALSE)),"")</f>
        <v/>
      </c>
      <c r="I90" s="86" t="str">
        <f>IFERROR(IF(VLOOKUP($F90,Atletas!$J:$P,2,FALSE)=0,"",VLOOKUP($F90,Atletas!$J:$P,2,FALSE)),"")</f>
        <v/>
      </c>
      <c r="J90" s="95"/>
      <c r="K90" s="95"/>
    </row>
    <row r="91" spans="1:11" ht="17" customHeight="1">
      <c r="A91" s="88">
        <f>IFERROR(HLOOKUP($B$2,Tab_Din_listagem!$A$2:$SY$333,165,0),"")</f>
        <v>0</v>
      </c>
      <c r="B91" s="89" t="str">
        <f>IFERROR(IF(VLOOKUP($A91,Atletas!$J:$P,4,FALSE)=0,"",VLOOKUP($A91,Atletas!$J:$P,4,FALSE)),"")</f>
        <v/>
      </c>
      <c r="C91" s="90" t="str">
        <f>IFERROR(IF(VLOOKUP($A91,Atletas!$J:$P,5,FALSE)=0,"",VLOOKUP($A91,Atletas!$J:$P,5,FALSE)),"")</f>
        <v/>
      </c>
      <c r="D91" s="86" t="str">
        <f>IFERROR(IF(VLOOKUP($A91,Atletas!$J:$P,2,FALSE)=0,"",VLOOKUP($A91,Atletas!$J:$P,2,FALSE)),"")</f>
        <v/>
      </c>
      <c r="E91" s="81"/>
      <c r="F91" s="88">
        <f>IFERROR(HLOOKUP($B$2,Tab_Din_listagem!$A$2:$SY$333,190,0),"")</f>
        <v>0</v>
      </c>
      <c r="G91" s="89" t="str">
        <f>IFERROR(IF(VLOOKUP($F91,Atletas!$J:$P,4,FALSE)=0,"",VLOOKUP($F91,Atletas!$J:$P,4,FALSE)),"")</f>
        <v/>
      </c>
      <c r="H91" s="90" t="str">
        <f>IFERROR(IF(VLOOKUP($F91,Atletas!$J:$P,5,FALSE)=0,"",VLOOKUP($F91,Atletas!$J:$P,5,FALSE)),"")</f>
        <v/>
      </c>
      <c r="I91" s="86" t="str">
        <f>IFERROR(IF(VLOOKUP($F91,Atletas!$J:$P,2,FALSE)=0,"",VLOOKUP($F91,Atletas!$J:$P,2,FALSE)),"")</f>
        <v/>
      </c>
      <c r="J91" s="95"/>
      <c r="K91" s="95"/>
    </row>
    <row r="92" spans="1:11" ht="17" customHeight="1">
      <c r="A92" s="88">
        <f>IFERROR(HLOOKUP($B$2,Tab_Din_listagem!$A$2:$SY$333,166,0),"")</f>
        <v>0</v>
      </c>
      <c r="B92" s="89" t="str">
        <f>IFERROR(IF(VLOOKUP($A92,Atletas!$J:$P,4,FALSE)=0,"",VLOOKUP($A92,Atletas!$J:$P,4,FALSE)),"")</f>
        <v/>
      </c>
      <c r="C92" s="90" t="str">
        <f>IFERROR(IF(VLOOKUP($A92,Atletas!$J:$P,5,FALSE)=0,"",VLOOKUP($A92,Atletas!$J:$P,5,FALSE)),"")</f>
        <v/>
      </c>
      <c r="D92" s="86" t="str">
        <f>IFERROR(IF(VLOOKUP($A92,Atletas!$J:$P,2,FALSE)=0,"",VLOOKUP($A92,Atletas!$J:$P,2,FALSE)),"")</f>
        <v/>
      </c>
      <c r="E92" s="81"/>
      <c r="F92" s="88">
        <f>IFERROR(HLOOKUP($B$2,Tab_Din_listagem!$A$2:$SY$333,191,0),"")</f>
        <v>0</v>
      </c>
      <c r="G92" s="89" t="str">
        <f>IFERROR(IF(VLOOKUP($F92,Atletas!$J:$P,4,FALSE)=0,"",VLOOKUP($F92,Atletas!$J:$P,4,FALSE)),"")</f>
        <v/>
      </c>
      <c r="H92" s="90" t="str">
        <f>IFERROR(IF(VLOOKUP($F92,Atletas!$J:$P,5,FALSE)=0,"",VLOOKUP($F92,Atletas!$J:$P,5,FALSE)),"")</f>
        <v/>
      </c>
      <c r="I92" s="86" t="str">
        <f>IFERROR(IF(VLOOKUP($F92,Atletas!$J:$P,2,FALSE)=0,"",VLOOKUP($F92,Atletas!$J:$P,2,FALSE)),"")</f>
        <v/>
      </c>
      <c r="J92" s="95"/>
      <c r="K92" s="95"/>
    </row>
    <row r="93" spans="1:11" ht="17" customHeight="1">
      <c r="A93" s="88">
        <f>IFERROR(HLOOKUP($B$2,Tab_Din_listagem!$A$2:$SY$333,167,0),"")</f>
        <v>0</v>
      </c>
      <c r="B93" s="89" t="str">
        <f>IFERROR(IF(VLOOKUP($A93,Atletas!$J:$P,4,FALSE)=0,"",VLOOKUP($A93,Atletas!$J:$P,4,FALSE)),"")</f>
        <v/>
      </c>
      <c r="C93" s="90" t="str">
        <f>IFERROR(IF(VLOOKUP($A93,Atletas!$J:$P,5,FALSE)=0,"",VLOOKUP($A93,Atletas!$J:$P,5,FALSE)),"")</f>
        <v/>
      </c>
      <c r="D93" s="86" t="str">
        <f>IFERROR(IF(VLOOKUP($A93,Atletas!$J:$P,2,FALSE)=0,"",VLOOKUP($A93,Atletas!$J:$P,2,FALSE)),"")</f>
        <v/>
      </c>
      <c r="E93" s="81"/>
      <c r="F93" s="88">
        <f>IFERROR(HLOOKUP($B$2,Tab_Din_listagem!$A$2:$SY$333,192,0),"")</f>
        <v>0</v>
      </c>
      <c r="G93" s="89" t="str">
        <f>IFERROR(IF(VLOOKUP($F93,Atletas!$J:$P,4,FALSE)=0,"",VLOOKUP($F93,Atletas!$J:$P,4,FALSE)),"")</f>
        <v/>
      </c>
      <c r="H93" s="90" t="str">
        <f>IFERROR(IF(VLOOKUP($F93,Atletas!$J:$P,5,FALSE)=0,"",VLOOKUP($F93,Atletas!$J:$P,5,FALSE)),"")</f>
        <v/>
      </c>
      <c r="I93" s="86" t="str">
        <f>IFERROR(IF(VLOOKUP($F93,Atletas!$J:$P,2,FALSE)=0,"",VLOOKUP($F93,Atletas!$J:$P,2,FALSE)),"")</f>
        <v/>
      </c>
      <c r="J93" s="95"/>
      <c r="K93" s="95"/>
    </row>
    <row r="94" spans="1:11" ht="17" customHeight="1">
      <c r="A94" s="88">
        <f>IFERROR(HLOOKUP($B$2,Tab_Din_listagem!$A$2:$SY$333,168,0),"")</f>
        <v>0</v>
      </c>
      <c r="B94" s="89" t="str">
        <f>IFERROR(IF(VLOOKUP($A94,Atletas!$J:$P,4,FALSE)=0,"",VLOOKUP($A94,Atletas!$J:$P,4,FALSE)),"")</f>
        <v/>
      </c>
      <c r="C94" s="90" t="str">
        <f>IFERROR(IF(VLOOKUP($A94,Atletas!$J:$P,5,FALSE)=0,"",VLOOKUP($A94,Atletas!$J:$P,5,FALSE)),"")</f>
        <v/>
      </c>
      <c r="D94" s="86" t="str">
        <f>IFERROR(IF(VLOOKUP($A94,Atletas!$J:$P,2,FALSE)=0,"",VLOOKUP($A94,Atletas!$J:$P,2,FALSE)),"")</f>
        <v/>
      </c>
      <c r="E94" s="81"/>
      <c r="F94" s="88">
        <f>IFERROR(HLOOKUP($B$2,Tab_Din_listagem!$A$2:$SY$333,193,0),"")</f>
        <v>0</v>
      </c>
      <c r="G94" s="89" t="str">
        <f>IFERROR(IF(VLOOKUP($F94,Atletas!$J:$P,4,FALSE)=0,"",VLOOKUP($F94,Atletas!$J:$P,4,FALSE)),"")</f>
        <v/>
      </c>
      <c r="H94" s="90" t="str">
        <f>IFERROR(IF(VLOOKUP($F94,Atletas!$J:$P,5,FALSE)=0,"",VLOOKUP($F94,Atletas!$J:$P,5,FALSE)),"")</f>
        <v/>
      </c>
      <c r="I94" s="86" t="str">
        <f>IFERROR(IF(VLOOKUP($F94,Atletas!$J:$P,2,FALSE)=0,"",VLOOKUP($F94,Atletas!$J:$P,2,FALSE)),"")</f>
        <v/>
      </c>
      <c r="J94" s="95"/>
      <c r="K94" s="95"/>
    </row>
    <row r="95" spans="1:11" ht="17" customHeight="1">
      <c r="A95" s="88">
        <f>IFERROR(HLOOKUP($B$2,Tab_Din_listagem!$A$2:$SY$333,169,0),"")</f>
        <v>0</v>
      </c>
      <c r="B95" s="89" t="str">
        <f>IFERROR(IF(VLOOKUP($A95,Atletas!$J:$P,4,FALSE)=0,"",VLOOKUP($A95,Atletas!$J:$P,4,FALSE)),"")</f>
        <v/>
      </c>
      <c r="C95" s="90" t="str">
        <f>IFERROR(IF(VLOOKUP($A95,Atletas!$J:$P,5,FALSE)=0,"",VLOOKUP($A95,Atletas!$J:$P,5,FALSE)),"")</f>
        <v/>
      </c>
      <c r="D95" s="86" t="str">
        <f>IFERROR(IF(VLOOKUP($A95,Atletas!$J:$P,2,FALSE)=0,"",VLOOKUP($A95,Atletas!$J:$P,2,FALSE)),"")</f>
        <v/>
      </c>
      <c r="E95" s="81"/>
      <c r="F95" s="88">
        <f>IFERROR(HLOOKUP($B$2,Tab_Din_listagem!$A$2:$SY$333,194,0),"")</f>
        <v>0</v>
      </c>
      <c r="G95" s="89" t="str">
        <f>IFERROR(IF(VLOOKUP($F95,Atletas!$J:$P,4,FALSE)=0,"",VLOOKUP($F95,Atletas!$J:$P,4,FALSE)),"")</f>
        <v/>
      </c>
      <c r="H95" s="90" t="str">
        <f>IFERROR(IF(VLOOKUP($F95,Atletas!$J:$P,5,FALSE)=0,"",VLOOKUP($F95,Atletas!$J:$P,5,FALSE)),"")</f>
        <v/>
      </c>
      <c r="I95" s="86" t="str">
        <f>IFERROR(IF(VLOOKUP($F95,Atletas!$J:$P,2,FALSE)=0,"",VLOOKUP($F95,Atletas!$J:$P,2,FALSE)),"")</f>
        <v/>
      </c>
      <c r="J95" s="95"/>
      <c r="K95" s="95"/>
    </row>
    <row r="96" spans="1:11" ht="17" customHeight="1">
      <c r="A96" s="88">
        <f>IFERROR(HLOOKUP($B$2,Tab_Din_listagem!$A$2:$SY$333,170,0),"")</f>
        <v>0</v>
      </c>
      <c r="B96" s="89" t="str">
        <f>IFERROR(IF(VLOOKUP($A96,Atletas!$J:$P,4,FALSE)=0,"",VLOOKUP($A96,Atletas!$J:$P,4,FALSE)),"")</f>
        <v/>
      </c>
      <c r="C96" s="90" t="str">
        <f>IFERROR(IF(VLOOKUP($A96,Atletas!$J:$P,5,FALSE)=0,"",VLOOKUP($A96,Atletas!$J:$P,5,FALSE)),"")</f>
        <v/>
      </c>
      <c r="D96" s="86" t="str">
        <f>IFERROR(IF(VLOOKUP($A96,Atletas!$J:$P,2,FALSE)=0,"",VLOOKUP($A96,Atletas!$J:$P,2,FALSE)),"")</f>
        <v/>
      </c>
      <c r="E96" s="81"/>
      <c r="F96" s="88">
        <f>IFERROR(HLOOKUP($B$2,Tab_Din_listagem!$A$2:$SY$333,195,0),"")</f>
        <v>0</v>
      </c>
      <c r="G96" s="89" t="str">
        <f>IFERROR(IF(VLOOKUP($F96,Atletas!$J:$P,4,FALSE)=0,"",VLOOKUP($F96,Atletas!$J:$P,4,FALSE)),"")</f>
        <v/>
      </c>
      <c r="H96" s="90" t="str">
        <f>IFERROR(IF(VLOOKUP($F96,Atletas!$J:$P,5,FALSE)=0,"",VLOOKUP($F96,Atletas!$J:$P,5,FALSE)),"")</f>
        <v/>
      </c>
      <c r="I96" s="86" t="str">
        <f>IFERROR(IF(VLOOKUP($F96,Atletas!$J:$P,2,FALSE)=0,"",VLOOKUP($F96,Atletas!$J:$P,2,FALSE)),"")</f>
        <v/>
      </c>
      <c r="J96" s="95"/>
      <c r="K96" s="95"/>
    </row>
    <row r="97" spans="1:11" ht="17" customHeight="1">
      <c r="A97" s="88">
        <f>IFERROR(HLOOKUP($B$2,Tab_Din_listagem!$A$2:$SY$333,171,0),"")</f>
        <v>0</v>
      </c>
      <c r="B97" s="89" t="str">
        <f>IFERROR(IF(VLOOKUP($A97,Atletas!$J:$P,4,FALSE)=0,"",VLOOKUP($A97,Atletas!$J:$P,4,FALSE)),"")</f>
        <v/>
      </c>
      <c r="C97" s="90" t="str">
        <f>IFERROR(IF(VLOOKUP($A97,Atletas!$J:$P,5,FALSE)=0,"",VLOOKUP($A97,Atletas!$J:$P,5,FALSE)),"")</f>
        <v/>
      </c>
      <c r="D97" s="86" t="str">
        <f>IFERROR(IF(VLOOKUP($A97,Atletas!$J:$P,2,FALSE)=0,"",VLOOKUP($A97,Atletas!$J:$P,2,FALSE)),"")</f>
        <v/>
      </c>
      <c r="E97" s="81"/>
      <c r="F97" s="88">
        <f>IFERROR(HLOOKUP($B$2,Tab_Din_listagem!$A$2:$SY$333,196,0),"")</f>
        <v>0</v>
      </c>
      <c r="G97" s="89" t="str">
        <f>IFERROR(IF(VLOOKUP($F97,Atletas!$J:$P,4,FALSE)=0,"",VLOOKUP($F97,Atletas!$J:$P,4,FALSE)),"")</f>
        <v/>
      </c>
      <c r="H97" s="90" t="str">
        <f>IFERROR(IF(VLOOKUP($F97,Atletas!$J:$P,5,FALSE)=0,"",VLOOKUP($F97,Atletas!$J:$P,5,FALSE)),"")</f>
        <v/>
      </c>
      <c r="I97" s="86" t="str">
        <f>IFERROR(IF(VLOOKUP($F97,Atletas!$J:$P,2,FALSE)=0,"",VLOOKUP($F97,Atletas!$J:$P,2,FALSE)),"")</f>
        <v/>
      </c>
      <c r="J97" s="95"/>
      <c r="K97" s="95"/>
    </row>
    <row r="98" spans="1:11" ht="17" customHeight="1">
      <c r="A98" s="88">
        <f>IFERROR(HLOOKUP($B$2,Tab_Din_listagem!$A$2:$SY$333,172,0),"")</f>
        <v>0</v>
      </c>
      <c r="B98" s="89" t="str">
        <f>IFERROR(IF(VLOOKUP($A98,Atletas!$J:$P,4,FALSE)=0,"",VLOOKUP($A98,Atletas!$J:$P,4,FALSE)),"")</f>
        <v/>
      </c>
      <c r="C98" s="90" t="str">
        <f>IFERROR(IF(VLOOKUP($A98,Atletas!$J:$P,5,FALSE)=0,"",VLOOKUP($A98,Atletas!$J:$P,5,FALSE)),"")</f>
        <v/>
      </c>
      <c r="D98" s="86" t="str">
        <f>IFERROR(IF(VLOOKUP($A98,Atletas!$J:$P,2,FALSE)=0,"",VLOOKUP($A98,Atletas!$J:$P,2,FALSE)),"")</f>
        <v/>
      </c>
      <c r="E98" s="81"/>
      <c r="F98" s="88">
        <f>IFERROR(HLOOKUP($B$2,Tab_Din_listagem!$A$2:$SY$333,197,0),"")</f>
        <v>0</v>
      </c>
      <c r="G98" s="89" t="str">
        <f>IFERROR(IF(VLOOKUP($F98,Atletas!$J:$P,4,FALSE)=0,"",VLOOKUP($F98,Atletas!$J:$P,4,FALSE)),"")</f>
        <v/>
      </c>
      <c r="H98" s="90" t="str">
        <f>IFERROR(IF(VLOOKUP($F98,Atletas!$J:$P,5,FALSE)=0,"",VLOOKUP($F98,Atletas!$J:$P,5,FALSE)),"")</f>
        <v/>
      </c>
      <c r="I98" s="86" t="str">
        <f>IFERROR(IF(VLOOKUP($F98,Atletas!$J:$P,2,FALSE)=0,"",VLOOKUP($F98,Atletas!$J:$P,2,FALSE)),"")</f>
        <v/>
      </c>
      <c r="J98" s="95"/>
      <c r="K98" s="95"/>
    </row>
    <row r="99" spans="1:11" ht="17" customHeight="1">
      <c r="A99" s="88">
        <f>IFERROR(HLOOKUP($B$2,Tab_Din_listagem!$A$2:$SY$333,173,0),"")</f>
        <v>0</v>
      </c>
      <c r="B99" s="89" t="str">
        <f>IFERROR(IF(VLOOKUP($A99,Atletas!$J:$P,4,FALSE)=0,"",VLOOKUP($A99,Atletas!$J:$P,4,FALSE)),"")</f>
        <v/>
      </c>
      <c r="C99" s="90" t="str">
        <f>IFERROR(IF(VLOOKUP($A99,Atletas!$J:$P,5,FALSE)=0,"",VLOOKUP($A99,Atletas!$J:$P,5,FALSE)),"")</f>
        <v/>
      </c>
      <c r="D99" s="86" t="str">
        <f>IFERROR(IF(VLOOKUP($A99,Atletas!$J:$P,2,FALSE)=0,"",VLOOKUP($A99,Atletas!$J:$P,2,FALSE)),"")</f>
        <v/>
      </c>
      <c r="E99" s="81"/>
      <c r="F99" s="88">
        <f>IFERROR(HLOOKUP($B$2,Tab_Din_listagem!$A$2:$SY$333,198,0),"")</f>
        <v>0</v>
      </c>
      <c r="G99" s="89" t="str">
        <f>IFERROR(IF(VLOOKUP($F99,Atletas!$J:$P,4,FALSE)=0,"",VLOOKUP($F99,Atletas!$J:$P,4,FALSE)),"")</f>
        <v/>
      </c>
      <c r="H99" s="90" t="str">
        <f>IFERROR(IF(VLOOKUP($F99,Atletas!$J:$P,5,FALSE)=0,"",VLOOKUP($F99,Atletas!$J:$P,5,FALSE)),"")</f>
        <v/>
      </c>
      <c r="I99" s="86" t="str">
        <f>IFERROR(IF(VLOOKUP($F99,Atletas!$J:$P,2,FALSE)=0,"",VLOOKUP($F99,Atletas!$J:$P,2,FALSE)),"")</f>
        <v/>
      </c>
      <c r="J99" s="95"/>
      <c r="K99" s="95"/>
    </row>
    <row r="100" spans="1:11" ht="17" customHeight="1">
      <c r="A100" s="88">
        <f>IFERROR(HLOOKUP($B$2,Tab_Din_listagem!$A$2:$SY$333,174,0),"")</f>
        <v>0</v>
      </c>
      <c r="B100" s="89" t="str">
        <f>IFERROR(IF(VLOOKUP($A100,Atletas!$J:$P,4,FALSE)=0,"",VLOOKUP($A100,Atletas!$J:$P,4,FALSE)),"")</f>
        <v/>
      </c>
      <c r="C100" s="90" t="str">
        <f>IFERROR(IF(VLOOKUP($A100,Atletas!$J:$P,5,FALSE)=0,"",VLOOKUP($A100,Atletas!$J:$P,5,FALSE)),"")</f>
        <v/>
      </c>
      <c r="D100" s="86" t="str">
        <f>IFERROR(IF(VLOOKUP($A100,Atletas!$J:$P,2,FALSE)=0,"",VLOOKUP($A100,Atletas!$J:$P,2,FALSE)),"")</f>
        <v/>
      </c>
      <c r="E100" s="81"/>
      <c r="F100" s="88">
        <f>IFERROR(HLOOKUP($B$2,Tab_Din_listagem!$A$2:$SY$333,199,0),"")</f>
        <v>0</v>
      </c>
      <c r="G100" s="89" t="str">
        <f>IFERROR(IF(VLOOKUP($F100,Atletas!$J:$P,4,FALSE)=0,"",VLOOKUP($F100,Atletas!$J:$P,4,FALSE)),"")</f>
        <v/>
      </c>
      <c r="H100" s="90" t="str">
        <f>IFERROR(IF(VLOOKUP($F100,Atletas!$J:$P,5,FALSE)=0,"",VLOOKUP($F100,Atletas!$J:$P,5,FALSE)),"")</f>
        <v/>
      </c>
      <c r="I100" s="86" t="str">
        <f>IFERROR(IF(VLOOKUP($F100,Atletas!$J:$P,2,FALSE)=0,"",VLOOKUP($F100,Atletas!$J:$P,2,FALSE)),"")</f>
        <v/>
      </c>
      <c r="J100" s="95"/>
      <c r="K100" s="95"/>
    </row>
    <row r="101" spans="1:11" ht="17" customHeight="1">
      <c r="A101" s="88">
        <f>IFERROR(HLOOKUP($B$2,Tab_Din_listagem!$A$2:$SY$333,175,0),"")</f>
        <v>0</v>
      </c>
      <c r="B101" s="89" t="str">
        <f>IFERROR(IF(VLOOKUP($A101,Atletas!$J:$P,4,FALSE)=0,"",VLOOKUP($A101,Atletas!$J:$P,4,FALSE)),"")</f>
        <v/>
      </c>
      <c r="C101" s="90" t="str">
        <f>IFERROR(IF(VLOOKUP($A101,Atletas!$J:$P,5,FALSE)=0,"",VLOOKUP($A101,Atletas!$J:$P,5,FALSE)),"")</f>
        <v/>
      </c>
      <c r="D101" s="86" t="str">
        <f>IFERROR(IF(VLOOKUP($A101,Atletas!$J:$P,2,FALSE)=0,"",VLOOKUP($A101,Atletas!$J:$P,2,FALSE)),"")</f>
        <v/>
      </c>
      <c r="E101" s="81"/>
      <c r="F101" s="88">
        <f>IFERROR(HLOOKUP($B$2,Tab_Din_listagem!$A$2:$SY$333,200,0),"")</f>
        <v>0</v>
      </c>
      <c r="G101" s="89" t="str">
        <f>IFERROR(IF(VLOOKUP($F101,Atletas!$J:$P,4,FALSE)=0,"",VLOOKUP($F101,Atletas!$J:$P,4,FALSE)),"")</f>
        <v/>
      </c>
      <c r="H101" s="90" t="str">
        <f>IFERROR(IF(VLOOKUP($F101,Atletas!$J:$P,5,FALSE)=0,"",VLOOKUP($F101,Atletas!$J:$P,5,FALSE)),"")</f>
        <v/>
      </c>
      <c r="I101" s="86" t="str">
        <f>IFERROR(IF(VLOOKUP($F101,Atletas!$J:$P,2,FALSE)=0,"",VLOOKUP($F101,Atletas!$J:$P,2,FALSE)),"")</f>
        <v/>
      </c>
      <c r="J101" s="95"/>
      <c r="K101" s="95"/>
    </row>
    <row r="102" spans="1:11" ht="17" customHeight="1">
      <c r="A102" s="88">
        <f>IFERROR(HLOOKUP($B$2,Tab_Din_listagem!$A$2:$SY$333,176,0),"")</f>
        <v>0</v>
      </c>
      <c r="B102" s="89" t="str">
        <f>IFERROR(IF(VLOOKUP($A102,Atletas!$J:$P,4,FALSE)=0,"",VLOOKUP($A102,Atletas!$J:$P,4,FALSE)),"")</f>
        <v/>
      </c>
      <c r="C102" s="90" t="str">
        <f>IFERROR(IF(VLOOKUP($A102,Atletas!$J:$P,5,FALSE)=0,"",VLOOKUP($A102,Atletas!$J:$P,5,FALSE)),"")</f>
        <v/>
      </c>
      <c r="D102" s="86" t="str">
        <f>IFERROR(IF(VLOOKUP($A102,Atletas!$J:$P,2,FALSE)=0,"",VLOOKUP($A102,Atletas!$J:$P,2,FALSE)),"")</f>
        <v/>
      </c>
      <c r="E102" s="81"/>
      <c r="F102" s="88">
        <f>IFERROR(HLOOKUP($B$2,Tab_Din_listagem!$A$2:$SY$333,201,0),"")</f>
        <v>0</v>
      </c>
      <c r="G102" s="89" t="str">
        <f>IFERROR(IF(VLOOKUP($F102,Atletas!$J:$P,4,FALSE)=0,"",VLOOKUP($F102,Atletas!$J:$P,4,FALSE)),"")</f>
        <v/>
      </c>
      <c r="H102" s="90" t="str">
        <f>IFERROR(IF(VLOOKUP($F102,Atletas!$J:$P,5,FALSE)=0,"",VLOOKUP($F102,Atletas!$J:$P,5,FALSE)),"")</f>
        <v/>
      </c>
      <c r="I102" s="86" t="str">
        <f>IFERROR(IF(VLOOKUP($F102,Atletas!$J:$P,2,FALSE)=0,"",VLOOKUP($F102,Atletas!$J:$P,2,FALSE)),"")</f>
        <v/>
      </c>
      <c r="J102" s="95"/>
      <c r="K102" s="95"/>
    </row>
    <row r="103" spans="1:11" ht="17" customHeight="1">
      <c r="A103" s="88">
        <f>IFERROR(HLOOKUP($B$2,Tab_Din_listagem!$A$2:$SY$333,177,0),"")</f>
        <v>0</v>
      </c>
      <c r="B103" s="89" t="str">
        <f>IFERROR(IF(VLOOKUP($A103,Atletas!$J:$P,4,FALSE)=0,"",VLOOKUP($A103,Atletas!$J:$P,4,FALSE)),"")</f>
        <v/>
      </c>
      <c r="C103" s="90" t="str">
        <f>IFERROR(IF(VLOOKUP($A103,Atletas!$J:$P,5,FALSE)=0,"",VLOOKUP($A103,Atletas!$J:$P,5,FALSE)),"")</f>
        <v/>
      </c>
      <c r="D103" s="86" t="str">
        <f>IFERROR(IF(VLOOKUP($A103,Atletas!$J:$P,2,FALSE)=0,"",VLOOKUP($A103,Atletas!$J:$P,2,FALSE)),"")</f>
        <v/>
      </c>
      <c r="E103" s="81"/>
      <c r="F103" s="88">
        <f>IFERROR(HLOOKUP($B$2,Tab_Din_listagem!$A$2:$SY$333,202,0),"")</f>
        <v>0</v>
      </c>
      <c r="G103" s="89" t="str">
        <f>IFERROR(IF(VLOOKUP($F103,Atletas!$J:$P,4,FALSE)=0,"",VLOOKUP($F103,Atletas!$J:$P,4,FALSE)),"")</f>
        <v/>
      </c>
      <c r="H103" s="90" t="str">
        <f>IFERROR(IF(VLOOKUP($F103,Atletas!$J:$P,5,FALSE)=0,"",VLOOKUP($F103,Atletas!$J:$P,5,FALSE)),"")</f>
        <v/>
      </c>
      <c r="I103" s="86" t="str">
        <f>IFERROR(IF(VLOOKUP($F103,Atletas!$J:$P,2,FALSE)=0,"",VLOOKUP($F103,Atletas!$J:$P,2,FALSE)),"")</f>
        <v/>
      </c>
      <c r="J103" s="95"/>
      <c r="K103" s="95"/>
    </row>
    <row r="104" spans="1:11" ht="17" customHeight="1">
      <c r="A104" s="91">
        <f>IFERROR(HLOOKUP($B$2,Tab_Din_listagem!$A$2:$SY$333,178,0),"")</f>
        <v>0</v>
      </c>
      <c r="B104" s="92" t="str">
        <f>IFERROR(IF(VLOOKUP($A104,Atletas!$J:$P,4,FALSE)=0,"",VLOOKUP($A104,Atletas!$J:$P,4,FALSE)),"")</f>
        <v/>
      </c>
      <c r="C104" s="93" t="str">
        <f>IFERROR(IF(VLOOKUP($A104,Atletas!$J:$P,5,FALSE)=0,"",VLOOKUP($A104,Atletas!$J:$P,5,FALSE)),"")</f>
        <v/>
      </c>
      <c r="D104" s="94" t="str">
        <f>IFERROR(IF(VLOOKUP($A104,Atletas!$J:$P,2,FALSE)=0,"",VLOOKUP($A104,Atletas!$J:$P,2,FALSE)),"")</f>
        <v/>
      </c>
      <c r="E104" s="81"/>
      <c r="F104" s="103">
        <f>IFERROR(HLOOKUP($B$2,Tab_Din_listagem!$A$2:$SY$333,203,0),"")</f>
        <v>0</v>
      </c>
      <c r="G104" s="104" t="str">
        <f>IFERROR(IF(VLOOKUP($F104,Atletas!$J:$P,4,FALSE)=0,"",VLOOKUP($F104,Atletas!$J:$P,4,FALSE)),"")</f>
        <v/>
      </c>
      <c r="H104" s="102" t="str">
        <f>IFERROR(IF(VLOOKUP($F104,Atletas!$J:$P,5,FALSE)=0,"",VLOOKUP($F104,Atletas!$J:$P,5,FALSE)),"")</f>
        <v/>
      </c>
      <c r="I104" s="105" t="str">
        <f>IFERROR(IF(VLOOKUP($F104,Atletas!$J:$P,2,FALSE)=0,"",VLOOKUP($F104,Atletas!$J:$P,2,FALSE)),"")</f>
        <v/>
      </c>
      <c r="J104" s="95"/>
      <c r="K104" s="95"/>
    </row>
    <row r="105" spans="1:11" ht="17" customHeight="1">
      <c r="A105" s="88">
        <f>IFERROR(HLOOKUP($B$2,Tab_Din_listagem!$A$2:$SY$333,204,0),"")</f>
        <v>0</v>
      </c>
      <c r="B105" s="89" t="str">
        <f>IFERROR(IF(VLOOKUP($A105,Atletas!$J:$P,4,FALSE)=0,"",VLOOKUP($A105,Atletas!$J:$P,4,FALSE)),"")</f>
        <v/>
      </c>
      <c r="C105" s="90" t="str">
        <f>IFERROR(IF(VLOOKUP($A105,Atletas!$J:$P,5,FALSE)=0,"",VLOOKUP($A105,Atletas!$J:$P,5,FALSE)),"")</f>
        <v/>
      </c>
      <c r="D105" s="86" t="str">
        <f>IFERROR(IF(VLOOKUP($A105,Atletas!$J:$P,2,FALSE)=0,"",VLOOKUP($A105,Atletas!$J:$P,2,FALSE)),"")</f>
        <v/>
      </c>
      <c r="E105" s="81"/>
      <c r="F105" s="88">
        <f>IFERROR(HLOOKUP($B$2,Tab_Din_listagem!$A$2:$SY$333,229,0),"")</f>
        <v>0</v>
      </c>
      <c r="G105" s="89" t="str">
        <f>IFERROR(IF(VLOOKUP($F105,Atletas!$J:$P,4,FALSE)=0,"",VLOOKUP($F105,Atletas!$J:$P,4,FALSE)),"")</f>
        <v/>
      </c>
      <c r="H105" s="90" t="str">
        <f>IFERROR(IF(VLOOKUP($F105,Atletas!$J:$P,5,FALSE)=0,"",VLOOKUP($F105,Atletas!$J:$P,5,FALSE)),"")</f>
        <v/>
      </c>
      <c r="I105" s="86" t="str">
        <f>IFERROR(IF(VLOOKUP($F105,Atletas!$J:$P,2,FALSE)=0,"",VLOOKUP($F105,Atletas!$J:$P,2,FALSE)),"")</f>
        <v/>
      </c>
      <c r="J105" s="95"/>
      <c r="K105" s="95"/>
    </row>
    <row r="106" spans="1:11" ht="17" customHeight="1">
      <c r="A106" s="88">
        <f>IFERROR(HLOOKUP($B$2,Tab_Din_listagem!$A$2:$SY$333,205,0),"")</f>
        <v>0</v>
      </c>
      <c r="B106" s="89" t="str">
        <f>IFERROR(IF(VLOOKUP($A106,Atletas!$J:$P,4,FALSE)=0,"",VLOOKUP($A106,Atletas!$J:$P,4,FALSE)),"")</f>
        <v/>
      </c>
      <c r="C106" s="90" t="str">
        <f>IFERROR(IF(VLOOKUP($A106,Atletas!$J:$P,5,FALSE)=0,"",VLOOKUP($A106,Atletas!$J:$P,5,FALSE)),"")</f>
        <v/>
      </c>
      <c r="D106" s="86" t="str">
        <f>IFERROR(IF(VLOOKUP($A106,Atletas!$J:$P,2,FALSE)=0,"",VLOOKUP($A106,Atletas!$J:$P,2,FALSE)),"")</f>
        <v/>
      </c>
      <c r="E106" s="81"/>
      <c r="F106" s="88">
        <f>IFERROR(HLOOKUP($B$2,Tab_Din_listagem!$A$2:$SY$333,230,0),"")</f>
        <v>0</v>
      </c>
      <c r="G106" s="89" t="str">
        <f>IFERROR(IF(VLOOKUP($F106,Atletas!$J:$P,4,FALSE)=0,"",VLOOKUP($F106,Atletas!$J:$P,4,FALSE)),"")</f>
        <v/>
      </c>
      <c r="H106" s="90" t="str">
        <f>IFERROR(IF(VLOOKUP($F106,Atletas!$J:$P,5,FALSE)=0,"",VLOOKUP($F106,Atletas!$J:$P,5,FALSE)),"")</f>
        <v/>
      </c>
      <c r="I106" s="86" t="str">
        <f>IFERROR(IF(VLOOKUP($F106,Atletas!$J:$P,2,FALSE)=0,"",VLOOKUP($F106,Atletas!$J:$P,2,FALSE)),"")</f>
        <v/>
      </c>
      <c r="J106" s="95"/>
      <c r="K106" s="95"/>
    </row>
    <row r="107" spans="1:11" ht="17" customHeight="1">
      <c r="A107" s="88">
        <f>IFERROR(HLOOKUP($B$2,Tab_Din_listagem!$A$2:$SY$333,206,0),"")</f>
        <v>0</v>
      </c>
      <c r="B107" s="89" t="str">
        <f>IFERROR(IF(VLOOKUP($A107,Atletas!$J:$P,4,FALSE)=0,"",VLOOKUP($A107,Atletas!$J:$P,4,FALSE)),"")</f>
        <v/>
      </c>
      <c r="C107" s="90" t="str">
        <f>IFERROR(IF(VLOOKUP($A107,Atletas!$J:$P,5,FALSE)=0,"",VLOOKUP($A107,Atletas!$J:$P,5,FALSE)),"")</f>
        <v/>
      </c>
      <c r="D107" s="86" t="str">
        <f>IFERROR(IF(VLOOKUP($A107,Atletas!$J:$P,2,FALSE)=0,"",VLOOKUP($A107,Atletas!$J:$P,2,FALSE)),"")</f>
        <v/>
      </c>
      <c r="E107" s="81"/>
      <c r="F107" s="88">
        <f>IFERROR(HLOOKUP($B$2,Tab_Din_listagem!$A$2:$SY$333,231,0),"")</f>
        <v>0</v>
      </c>
      <c r="G107" s="89" t="str">
        <f>IFERROR(IF(VLOOKUP($F107,Atletas!$J:$P,4,FALSE)=0,"",VLOOKUP($F107,Atletas!$J:$P,4,FALSE)),"")</f>
        <v/>
      </c>
      <c r="H107" s="90" t="str">
        <f>IFERROR(IF(VLOOKUP($F107,Atletas!$J:$P,5,FALSE)=0,"",VLOOKUP($F107,Atletas!$J:$P,5,FALSE)),"")</f>
        <v/>
      </c>
      <c r="I107" s="86" t="str">
        <f>IFERROR(IF(VLOOKUP($F107,Atletas!$J:$P,2,FALSE)=0,"",VLOOKUP($F107,Atletas!$J:$P,2,FALSE)),"")</f>
        <v/>
      </c>
      <c r="J107" s="95"/>
      <c r="K107" s="95"/>
    </row>
    <row r="108" spans="1:11" ht="17" customHeight="1">
      <c r="A108" s="88">
        <f>IFERROR(HLOOKUP($B$2,Tab_Din_listagem!$A$2:$SY$333,207,0),"")</f>
        <v>0</v>
      </c>
      <c r="B108" s="89" t="str">
        <f>IFERROR(IF(VLOOKUP($A108,Atletas!$J:$P,4,FALSE)=0,"",VLOOKUP($A108,Atletas!$J:$P,4,FALSE)),"")</f>
        <v/>
      </c>
      <c r="C108" s="90" t="str">
        <f>IFERROR(IF(VLOOKUP($A108,Atletas!$J:$P,5,FALSE)=0,"",VLOOKUP($A108,Atletas!$J:$P,5,FALSE)),"")</f>
        <v/>
      </c>
      <c r="D108" s="86" t="str">
        <f>IFERROR(IF(VLOOKUP($A108,Atletas!$J:$P,2,FALSE)=0,"",VLOOKUP($A108,Atletas!$J:$P,2,FALSE)),"")</f>
        <v/>
      </c>
      <c r="E108" s="81"/>
      <c r="F108" s="88">
        <f>IFERROR(HLOOKUP($B$2,Tab_Din_listagem!$A$2:$SY$333,232,0),"")</f>
        <v>0</v>
      </c>
      <c r="G108" s="89" t="str">
        <f>IFERROR(IF(VLOOKUP($F108,Atletas!$J:$P,4,FALSE)=0,"",VLOOKUP($F108,Atletas!$J:$P,4,FALSE)),"")</f>
        <v/>
      </c>
      <c r="H108" s="90" t="str">
        <f>IFERROR(IF(VLOOKUP($F108,Atletas!$J:$P,5,FALSE)=0,"",VLOOKUP($F108,Atletas!$J:$P,5,FALSE)),"")</f>
        <v/>
      </c>
      <c r="I108" s="86" t="str">
        <f>IFERROR(IF(VLOOKUP($F108,Atletas!$J:$P,2,FALSE)=0,"",VLOOKUP($F108,Atletas!$J:$P,2,FALSE)),"")</f>
        <v/>
      </c>
      <c r="J108" s="95"/>
      <c r="K108" s="95"/>
    </row>
    <row r="109" spans="1:11" ht="17" customHeight="1">
      <c r="A109" s="88">
        <f>IFERROR(HLOOKUP($B$2,Tab_Din_listagem!$A$2:$SY$333,208,0),"")</f>
        <v>0</v>
      </c>
      <c r="B109" s="89" t="str">
        <f>IFERROR(IF(VLOOKUP($A109,Atletas!$J:$P,4,FALSE)=0,"",VLOOKUP($A109,Atletas!$J:$P,4,FALSE)),"")</f>
        <v/>
      </c>
      <c r="C109" s="90" t="str">
        <f>IFERROR(IF(VLOOKUP($A109,Atletas!$J:$P,5,FALSE)=0,"",VLOOKUP($A109,Atletas!$J:$P,5,FALSE)),"")</f>
        <v/>
      </c>
      <c r="D109" s="86" t="str">
        <f>IFERROR(IF(VLOOKUP($A109,Atletas!$J:$P,2,FALSE)=0,"",VLOOKUP($A109,Atletas!$J:$P,2,FALSE)),"")</f>
        <v/>
      </c>
      <c r="E109" s="81"/>
      <c r="F109" s="88">
        <f>IFERROR(HLOOKUP($B$2,Tab_Din_listagem!$A$2:$SY$333,233,0),"")</f>
        <v>0</v>
      </c>
      <c r="G109" s="89" t="str">
        <f>IFERROR(IF(VLOOKUP($F109,Atletas!$J:$P,4,FALSE)=0,"",VLOOKUP($F109,Atletas!$J:$P,4,FALSE)),"")</f>
        <v/>
      </c>
      <c r="H109" s="90" t="str">
        <f>IFERROR(IF(VLOOKUP($F109,Atletas!$J:$P,5,FALSE)=0,"",VLOOKUP($F109,Atletas!$J:$P,5,FALSE)),"")</f>
        <v/>
      </c>
      <c r="I109" s="86" t="str">
        <f>IFERROR(IF(VLOOKUP($F109,Atletas!$J:$P,2,FALSE)=0,"",VLOOKUP($F109,Atletas!$J:$P,2,FALSE)),"")</f>
        <v/>
      </c>
      <c r="J109" s="95"/>
      <c r="K109" s="95"/>
    </row>
    <row r="110" spans="1:11" ht="17" customHeight="1">
      <c r="A110" s="88">
        <f>IFERROR(HLOOKUP($B$2,Tab_Din_listagem!$A$2:$SY$333,209,0),"")</f>
        <v>0</v>
      </c>
      <c r="B110" s="89" t="str">
        <f>IFERROR(IF(VLOOKUP($A110,Atletas!$J:$P,4,FALSE)=0,"",VLOOKUP($A110,Atletas!$J:$P,4,FALSE)),"")</f>
        <v/>
      </c>
      <c r="C110" s="90" t="str">
        <f>IFERROR(IF(VLOOKUP($A110,Atletas!$J:$P,5,FALSE)=0,"",VLOOKUP($A110,Atletas!$J:$P,5,FALSE)),"")</f>
        <v/>
      </c>
      <c r="D110" s="86" t="str">
        <f>IFERROR(IF(VLOOKUP($A110,Atletas!$J:$P,2,FALSE)=0,"",VLOOKUP($A110,Atletas!$J:$P,2,FALSE)),"")</f>
        <v/>
      </c>
      <c r="E110" s="81"/>
      <c r="F110" s="88">
        <f>IFERROR(HLOOKUP($B$2,Tab_Din_listagem!$A$2:$SY$333,234,0),"")</f>
        <v>0</v>
      </c>
      <c r="G110" s="89" t="str">
        <f>IFERROR(IF(VLOOKUP($F110,Atletas!$J:$P,4,FALSE)=0,"",VLOOKUP($F110,Atletas!$J:$P,4,FALSE)),"")</f>
        <v/>
      </c>
      <c r="H110" s="90" t="str">
        <f>IFERROR(IF(VLOOKUP($F110,Atletas!$J:$P,5,FALSE)=0,"",VLOOKUP($F110,Atletas!$J:$P,5,FALSE)),"")</f>
        <v/>
      </c>
      <c r="I110" s="86" t="str">
        <f>IFERROR(IF(VLOOKUP($F110,Atletas!$J:$P,2,FALSE)=0,"",VLOOKUP($F110,Atletas!$J:$P,2,FALSE)),"")</f>
        <v/>
      </c>
      <c r="J110" s="95"/>
      <c r="K110" s="95"/>
    </row>
    <row r="111" spans="1:11" ht="17" customHeight="1">
      <c r="A111" s="88">
        <f>IFERROR(HLOOKUP($B$2,Tab_Din_listagem!$A$2:$SY$333,210,0),"")</f>
        <v>0</v>
      </c>
      <c r="B111" s="89" t="str">
        <f>IFERROR(IF(VLOOKUP($A111,Atletas!$J:$P,4,FALSE)=0,"",VLOOKUP($A111,Atletas!$J:$P,4,FALSE)),"")</f>
        <v/>
      </c>
      <c r="C111" s="90" t="str">
        <f>IFERROR(IF(VLOOKUP($A111,Atletas!$J:$P,5,FALSE)=0,"",VLOOKUP($A111,Atletas!$J:$P,5,FALSE)),"")</f>
        <v/>
      </c>
      <c r="D111" s="86" t="str">
        <f>IFERROR(IF(VLOOKUP($A111,Atletas!$J:$P,2,FALSE)=0,"",VLOOKUP($A111,Atletas!$J:$P,2,FALSE)),"")</f>
        <v/>
      </c>
      <c r="E111" s="81"/>
      <c r="F111" s="88">
        <f>IFERROR(HLOOKUP($B$2,Tab_Din_listagem!$A$2:$SY$333,235,0),"")</f>
        <v>0</v>
      </c>
      <c r="G111" s="89" t="str">
        <f>IFERROR(IF(VLOOKUP($F111,Atletas!$J:$P,4,FALSE)=0,"",VLOOKUP($F111,Atletas!$J:$P,4,FALSE)),"")</f>
        <v/>
      </c>
      <c r="H111" s="90" t="str">
        <f>IFERROR(IF(VLOOKUP($F111,Atletas!$J:$P,5,FALSE)=0,"",VLOOKUP($F111,Atletas!$J:$P,5,FALSE)),"")</f>
        <v/>
      </c>
      <c r="I111" s="86" t="str">
        <f>IFERROR(IF(VLOOKUP($F111,Atletas!$J:$P,2,FALSE)=0,"",VLOOKUP($F111,Atletas!$J:$P,2,FALSE)),"")</f>
        <v/>
      </c>
      <c r="J111" s="95"/>
      <c r="K111" s="95"/>
    </row>
    <row r="112" spans="1:11" ht="17" customHeight="1">
      <c r="A112" s="88">
        <f>IFERROR(HLOOKUP($B$2,Tab_Din_listagem!$A$2:$SY$333,211,0),"")</f>
        <v>0</v>
      </c>
      <c r="B112" s="89" t="str">
        <f>IFERROR(IF(VLOOKUP($A112,Atletas!$J:$P,4,FALSE)=0,"",VLOOKUP($A112,Atletas!$J:$P,4,FALSE)),"")</f>
        <v/>
      </c>
      <c r="C112" s="90" t="str">
        <f>IFERROR(IF(VLOOKUP($A112,Atletas!$J:$P,5,FALSE)=0,"",VLOOKUP($A112,Atletas!$J:$P,5,FALSE)),"")</f>
        <v/>
      </c>
      <c r="D112" s="86" t="str">
        <f>IFERROR(IF(VLOOKUP($A112,Atletas!$J:$P,2,FALSE)=0,"",VLOOKUP($A112,Atletas!$J:$P,2,FALSE)),"")</f>
        <v/>
      </c>
      <c r="E112" s="81"/>
      <c r="F112" s="88">
        <f>IFERROR(HLOOKUP($B$2,Tab_Din_listagem!$A$2:$SY$333,236,0),"")</f>
        <v>0</v>
      </c>
      <c r="G112" s="89" t="str">
        <f>IFERROR(IF(VLOOKUP($F112,Atletas!$J:$P,4,FALSE)=0,"",VLOOKUP($F112,Atletas!$J:$P,4,FALSE)),"")</f>
        <v/>
      </c>
      <c r="H112" s="90" t="str">
        <f>IFERROR(IF(VLOOKUP($F112,Atletas!$J:$P,5,FALSE)=0,"",VLOOKUP($F112,Atletas!$J:$P,5,FALSE)),"")</f>
        <v/>
      </c>
      <c r="I112" s="86" t="str">
        <f>IFERROR(IF(VLOOKUP($F112,Atletas!$J:$P,2,FALSE)=0,"",VLOOKUP($F112,Atletas!$J:$P,2,FALSE)),"")</f>
        <v/>
      </c>
      <c r="J112" s="95"/>
      <c r="K112" s="95"/>
    </row>
    <row r="113" spans="1:11" ht="17" customHeight="1">
      <c r="A113" s="88">
        <f>IFERROR(HLOOKUP($B$2,Tab_Din_listagem!$A$2:$SY$333,212,0),"")</f>
        <v>0</v>
      </c>
      <c r="B113" s="89" t="str">
        <f>IFERROR(IF(VLOOKUP($A113,Atletas!$J:$P,4,FALSE)=0,"",VLOOKUP($A113,Atletas!$J:$P,4,FALSE)),"")</f>
        <v/>
      </c>
      <c r="C113" s="90" t="str">
        <f>IFERROR(IF(VLOOKUP($A113,Atletas!$J:$P,5,FALSE)=0,"",VLOOKUP($A113,Atletas!$J:$P,5,FALSE)),"")</f>
        <v/>
      </c>
      <c r="D113" s="86" t="str">
        <f>IFERROR(IF(VLOOKUP($A113,Atletas!$J:$P,2,FALSE)=0,"",VLOOKUP($A113,Atletas!$J:$P,2,FALSE)),"")</f>
        <v/>
      </c>
      <c r="E113" s="81"/>
      <c r="F113" s="88">
        <f>IFERROR(HLOOKUP($B$2,Tab_Din_listagem!$A$2:$SY$333,237,0),"")</f>
        <v>0</v>
      </c>
      <c r="G113" s="89" t="str">
        <f>IFERROR(IF(VLOOKUP($F113,Atletas!$J:$P,4,FALSE)=0,"",VLOOKUP($F113,Atletas!$J:$P,4,FALSE)),"")</f>
        <v/>
      </c>
      <c r="H113" s="90" t="str">
        <f>IFERROR(IF(VLOOKUP($F113,Atletas!$J:$P,5,FALSE)=0,"",VLOOKUP($F113,Atletas!$J:$P,5,FALSE)),"")</f>
        <v/>
      </c>
      <c r="I113" s="86" t="str">
        <f>IFERROR(IF(VLOOKUP($F113,Atletas!$J:$P,2,FALSE)=0,"",VLOOKUP($F113,Atletas!$J:$P,2,FALSE)),"")</f>
        <v/>
      </c>
      <c r="J113" s="95"/>
      <c r="K113" s="95"/>
    </row>
    <row r="114" spans="1:11" ht="17" customHeight="1">
      <c r="A114" s="88">
        <f>IFERROR(HLOOKUP($B$2,Tab_Din_listagem!$A$2:$SY$333,213,0),"")</f>
        <v>0</v>
      </c>
      <c r="B114" s="89" t="str">
        <f>IFERROR(IF(VLOOKUP($A114,Atletas!$J:$P,4,FALSE)=0,"",VLOOKUP($A114,Atletas!$J:$P,4,FALSE)),"")</f>
        <v/>
      </c>
      <c r="C114" s="90" t="str">
        <f>IFERROR(IF(VLOOKUP($A114,Atletas!$J:$P,5,FALSE)=0,"",VLOOKUP($A114,Atletas!$J:$P,5,FALSE)),"")</f>
        <v/>
      </c>
      <c r="D114" s="86" t="str">
        <f>IFERROR(IF(VLOOKUP($A114,Atletas!$J:$P,2,FALSE)=0,"",VLOOKUP($A114,Atletas!$J:$P,2,FALSE)),"")</f>
        <v/>
      </c>
      <c r="E114" s="81"/>
      <c r="F114" s="88">
        <f>IFERROR(HLOOKUP($B$2,Tab_Din_listagem!$A$2:$SY$333,238,0),"")</f>
        <v>0</v>
      </c>
      <c r="G114" s="89" t="str">
        <f>IFERROR(IF(VLOOKUP($F114,Atletas!$J:$P,4,FALSE)=0,"",VLOOKUP($F114,Atletas!$J:$P,4,FALSE)),"")</f>
        <v/>
      </c>
      <c r="H114" s="90" t="str">
        <f>IFERROR(IF(VLOOKUP($F114,Atletas!$J:$P,5,FALSE)=0,"",VLOOKUP($F114,Atletas!$J:$P,5,FALSE)),"")</f>
        <v/>
      </c>
      <c r="I114" s="86" t="str">
        <f>IFERROR(IF(VLOOKUP($F114,Atletas!$J:$P,2,FALSE)=0,"",VLOOKUP($F114,Atletas!$J:$P,2,FALSE)),"")</f>
        <v/>
      </c>
      <c r="J114" s="95"/>
      <c r="K114" s="95"/>
    </row>
    <row r="115" spans="1:11" ht="17" customHeight="1">
      <c r="A115" s="88">
        <f>IFERROR(HLOOKUP($B$2,Tab_Din_listagem!$A$2:$SY$333,214,0),"")</f>
        <v>0</v>
      </c>
      <c r="B115" s="89" t="str">
        <f>IFERROR(IF(VLOOKUP($A115,Atletas!$J:$P,4,FALSE)=0,"",VLOOKUP($A115,Atletas!$J:$P,4,FALSE)),"")</f>
        <v/>
      </c>
      <c r="C115" s="90" t="str">
        <f>IFERROR(IF(VLOOKUP($A115,Atletas!$J:$P,5,FALSE)=0,"",VLOOKUP($A115,Atletas!$J:$P,5,FALSE)),"")</f>
        <v/>
      </c>
      <c r="D115" s="86" t="str">
        <f>IFERROR(IF(VLOOKUP($A115,Atletas!$J:$P,2,FALSE)=0,"",VLOOKUP($A115,Atletas!$J:$P,2,FALSE)),"")</f>
        <v/>
      </c>
      <c r="E115" s="81"/>
      <c r="F115" s="88">
        <f>IFERROR(HLOOKUP($B$2,Tab_Din_listagem!$A$2:$SY$333,239,0),"")</f>
        <v>0</v>
      </c>
      <c r="G115" s="89" t="str">
        <f>IFERROR(IF(VLOOKUP($F115,Atletas!$J:$P,4,FALSE)=0,"",VLOOKUP($F115,Atletas!$J:$P,4,FALSE)),"")</f>
        <v/>
      </c>
      <c r="H115" s="90" t="str">
        <f>IFERROR(IF(VLOOKUP($F115,Atletas!$J:$P,5,FALSE)=0,"",VLOOKUP($F115,Atletas!$J:$P,5,FALSE)),"")</f>
        <v/>
      </c>
      <c r="I115" s="86" t="str">
        <f>IFERROR(IF(VLOOKUP($F115,Atletas!$J:$P,2,FALSE)=0,"",VLOOKUP($F115,Atletas!$J:$P,2,FALSE)),"")</f>
        <v/>
      </c>
      <c r="J115" s="95"/>
      <c r="K115" s="95"/>
    </row>
    <row r="116" spans="1:11" ht="17" customHeight="1">
      <c r="A116" s="88">
        <f>IFERROR(HLOOKUP($B$2,Tab_Din_listagem!$A$2:$SY$333,215,0),"")</f>
        <v>0</v>
      </c>
      <c r="B116" s="89" t="str">
        <f>IFERROR(IF(VLOOKUP($A116,Atletas!$J:$P,4,FALSE)=0,"",VLOOKUP($A116,Atletas!$J:$P,4,FALSE)),"")</f>
        <v/>
      </c>
      <c r="C116" s="90" t="str">
        <f>IFERROR(IF(VLOOKUP($A116,Atletas!$J:$P,5,FALSE)=0,"",VLOOKUP($A116,Atletas!$J:$P,5,FALSE)),"")</f>
        <v/>
      </c>
      <c r="D116" s="86" t="str">
        <f>IFERROR(IF(VLOOKUP($A116,Atletas!$J:$P,2,FALSE)=0,"",VLOOKUP($A116,Atletas!$J:$P,2,FALSE)),"")</f>
        <v/>
      </c>
      <c r="E116" s="81"/>
      <c r="F116" s="88">
        <f>IFERROR(HLOOKUP($B$2,Tab_Din_listagem!$A$2:$SY$333,240,0),"")</f>
        <v>0</v>
      </c>
      <c r="G116" s="89" t="str">
        <f>IFERROR(IF(VLOOKUP($F116,Atletas!$J:$P,4,FALSE)=0,"",VLOOKUP($F116,Atletas!$J:$P,4,FALSE)),"")</f>
        <v/>
      </c>
      <c r="H116" s="90" t="str">
        <f>IFERROR(IF(VLOOKUP($F116,Atletas!$J:$P,5,FALSE)=0,"",VLOOKUP($F116,Atletas!$J:$P,5,FALSE)),"")</f>
        <v/>
      </c>
      <c r="I116" s="86" t="str">
        <f>IFERROR(IF(VLOOKUP($F116,Atletas!$J:$P,2,FALSE)=0,"",VLOOKUP($F116,Atletas!$J:$P,2,FALSE)),"")</f>
        <v/>
      </c>
      <c r="J116" s="95"/>
      <c r="K116" s="95"/>
    </row>
    <row r="117" spans="1:11" ht="17" customHeight="1">
      <c r="A117" s="88">
        <f>IFERROR(HLOOKUP($B$2,Tab_Din_listagem!$A$2:$SY$333,216,0),"")</f>
        <v>0</v>
      </c>
      <c r="B117" s="89" t="str">
        <f>IFERROR(IF(VLOOKUP($A117,Atletas!$J:$P,4,FALSE)=0,"",VLOOKUP($A117,Atletas!$J:$P,4,FALSE)),"")</f>
        <v/>
      </c>
      <c r="C117" s="90" t="str">
        <f>IFERROR(IF(VLOOKUP($A117,Atletas!$J:$P,5,FALSE)=0,"",VLOOKUP($A117,Atletas!$J:$P,5,FALSE)),"")</f>
        <v/>
      </c>
      <c r="D117" s="86" t="str">
        <f>IFERROR(IF(VLOOKUP($A117,Atletas!$J:$P,2,FALSE)=0,"",VLOOKUP($A117,Atletas!$J:$P,2,FALSE)),"")</f>
        <v/>
      </c>
      <c r="E117" s="81"/>
      <c r="F117" s="88">
        <f>IFERROR(HLOOKUP($B$2,Tab_Din_listagem!$A$2:$SY$333,241,0),"")</f>
        <v>0</v>
      </c>
      <c r="G117" s="89" t="str">
        <f>IFERROR(IF(VLOOKUP($F117,Atletas!$J:$P,4,FALSE)=0,"",VLOOKUP($F117,Atletas!$J:$P,4,FALSE)),"")</f>
        <v/>
      </c>
      <c r="H117" s="90" t="str">
        <f>IFERROR(IF(VLOOKUP($F117,Atletas!$J:$P,5,FALSE)=0,"",VLOOKUP($F117,Atletas!$J:$P,5,FALSE)),"")</f>
        <v/>
      </c>
      <c r="I117" s="86" t="str">
        <f>IFERROR(IF(VLOOKUP($F117,Atletas!$J:$P,2,FALSE)=0,"",VLOOKUP($F117,Atletas!$J:$P,2,FALSE)),"")</f>
        <v/>
      </c>
      <c r="J117" s="95"/>
      <c r="K117" s="95"/>
    </row>
    <row r="118" spans="1:11" ht="17" customHeight="1">
      <c r="A118" s="88">
        <f>IFERROR(HLOOKUP($B$2,Tab_Din_listagem!$A$2:$SY$333,217,0),"")</f>
        <v>0</v>
      </c>
      <c r="B118" s="89" t="str">
        <f>IFERROR(IF(VLOOKUP($A118,Atletas!$J:$P,4,FALSE)=0,"",VLOOKUP($A118,Atletas!$J:$P,4,FALSE)),"")</f>
        <v/>
      </c>
      <c r="C118" s="90" t="str">
        <f>IFERROR(IF(VLOOKUP($A118,Atletas!$J:$P,5,FALSE)=0,"",VLOOKUP($A118,Atletas!$J:$P,5,FALSE)),"")</f>
        <v/>
      </c>
      <c r="D118" s="86" t="str">
        <f>IFERROR(IF(VLOOKUP($A118,Atletas!$J:$P,2,FALSE)=0,"",VLOOKUP($A118,Atletas!$J:$P,2,FALSE)),"")</f>
        <v/>
      </c>
      <c r="E118" s="81"/>
      <c r="F118" s="88">
        <f>IFERROR(HLOOKUP($B$2,Tab_Din_listagem!$A$2:$SY$333,242,0),"")</f>
        <v>0</v>
      </c>
      <c r="G118" s="89" t="str">
        <f>IFERROR(IF(VLOOKUP($F118,Atletas!$J:$P,4,FALSE)=0,"",VLOOKUP($F118,Atletas!$J:$P,4,FALSE)),"")</f>
        <v/>
      </c>
      <c r="H118" s="90" t="str">
        <f>IFERROR(IF(VLOOKUP($F118,Atletas!$J:$P,5,FALSE)=0,"",VLOOKUP($F118,Atletas!$J:$P,5,FALSE)),"")</f>
        <v/>
      </c>
      <c r="I118" s="86" t="str">
        <f>IFERROR(IF(VLOOKUP($F118,Atletas!$J:$P,2,FALSE)=0,"",VLOOKUP($F118,Atletas!$J:$P,2,FALSE)),"")</f>
        <v/>
      </c>
      <c r="J118" s="95"/>
      <c r="K118" s="95"/>
    </row>
    <row r="119" spans="1:11" ht="17" customHeight="1">
      <c r="A119" s="88">
        <f>IFERROR(HLOOKUP($B$2,Tab_Din_listagem!$A$2:$SY$333,218,0),"")</f>
        <v>0</v>
      </c>
      <c r="B119" s="89" t="str">
        <f>IFERROR(IF(VLOOKUP($A119,Atletas!$J:$P,4,FALSE)=0,"",VLOOKUP($A119,Atletas!$J:$P,4,FALSE)),"")</f>
        <v/>
      </c>
      <c r="C119" s="90" t="str">
        <f>IFERROR(IF(VLOOKUP($A119,Atletas!$J:$P,5,FALSE)=0,"",VLOOKUP($A119,Atletas!$J:$P,5,FALSE)),"")</f>
        <v/>
      </c>
      <c r="D119" s="86" t="str">
        <f>IFERROR(IF(VLOOKUP($A119,Atletas!$J:$P,2,FALSE)=0,"",VLOOKUP($A119,Atletas!$J:$P,2,FALSE)),"")</f>
        <v/>
      </c>
      <c r="E119" s="81"/>
      <c r="F119" s="88">
        <f>IFERROR(HLOOKUP($B$2,Tab_Din_listagem!$A$2:$SY$333,243,0),"")</f>
        <v>0</v>
      </c>
      <c r="G119" s="89" t="str">
        <f>IFERROR(IF(VLOOKUP($F119,Atletas!$J:$P,4,FALSE)=0,"",VLOOKUP($F119,Atletas!$J:$P,4,FALSE)),"")</f>
        <v/>
      </c>
      <c r="H119" s="90" t="str">
        <f>IFERROR(IF(VLOOKUP($F119,Atletas!$J:$P,5,FALSE)=0,"",VLOOKUP($F119,Atletas!$J:$P,5,FALSE)),"")</f>
        <v/>
      </c>
      <c r="I119" s="86" t="str">
        <f>IFERROR(IF(VLOOKUP($F119,Atletas!$J:$P,2,FALSE)=0,"",VLOOKUP($F119,Atletas!$J:$P,2,FALSE)),"")</f>
        <v/>
      </c>
      <c r="J119" s="95"/>
      <c r="K119" s="95"/>
    </row>
    <row r="120" spans="1:11" ht="17" customHeight="1">
      <c r="A120" s="88">
        <f>IFERROR(HLOOKUP($B$2,Tab_Din_listagem!$A$2:$SY$333,219,0),"")</f>
        <v>0</v>
      </c>
      <c r="B120" s="89" t="str">
        <f>IFERROR(IF(VLOOKUP($A120,Atletas!$J:$P,4,FALSE)=0,"",VLOOKUP($A120,Atletas!$J:$P,4,FALSE)),"")</f>
        <v/>
      </c>
      <c r="C120" s="90" t="str">
        <f>IFERROR(IF(VLOOKUP($A120,Atletas!$J:$P,5,FALSE)=0,"",VLOOKUP($A120,Atletas!$J:$P,5,FALSE)),"")</f>
        <v/>
      </c>
      <c r="D120" s="86" t="str">
        <f>IFERROR(IF(VLOOKUP($A120,Atletas!$J:$P,2,FALSE)=0,"",VLOOKUP($A120,Atletas!$J:$P,2,FALSE)),"")</f>
        <v/>
      </c>
      <c r="E120" s="81"/>
      <c r="F120" s="88">
        <f>IFERROR(HLOOKUP($B$2,Tab_Din_listagem!$A$2:$SY$333,244,0),"")</f>
        <v>0</v>
      </c>
      <c r="G120" s="89" t="str">
        <f>IFERROR(IF(VLOOKUP($F120,Atletas!$J:$P,4,FALSE)=0,"",VLOOKUP($F120,Atletas!$J:$P,4,FALSE)),"")</f>
        <v/>
      </c>
      <c r="H120" s="90" t="str">
        <f>IFERROR(IF(VLOOKUP($F120,Atletas!$J:$P,5,FALSE)=0,"",VLOOKUP($F120,Atletas!$J:$P,5,FALSE)),"")</f>
        <v/>
      </c>
      <c r="I120" s="86" t="str">
        <f>IFERROR(IF(VLOOKUP($F120,Atletas!$J:$P,2,FALSE)=0,"",VLOOKUP($F120,Atletas!$J:$P,2,FALSE)),"")</f>
        <v/>
      </c>
      <c r="J120" s="95"/>
      <c r="K120" s="95"/>
    </row>
    <row r="121" spans="1:11" ht="17" customHeight="1">
      <c r="A121" s="88">
        <f>IFERROR(HLOOKUP($B$2,Tab_Din_listagem!$A$2:$SY$333,220,0),"")</f>
        <v>0</v>
      </c>
      <c r="B121" s="89" t="str">
        <f>IFERROR(IF(VLOOKUP($A121,Atletas!$J:$P,4,FALSE)=0,"",VLOOKUP($A121,Atletas!$J:$P,4,FALSE)),"")</f>
        <v/>
      </c>
      <c r="C121" s="90" t="str">
        <f>IFERROR(IF(VLOOKUP($A121,Atletas!$J:$P,5,FALSE)=0,"",VLOOKUP($A121,Atletas!$J:$P,5,FALSE)),"")</f>
        <v/>
      </c>
      <c r="D121" s="86" t="str">
        <f>IFERROR(IF(VLOOKUP($A121,Atletas!$J:$P,2,FALSE)=0,"",VLOOKUP($A121,Atletas!$J:$P,2,FALSE)),"")</f>
        <v/>
      </c>
      <c r="E121" s="81"/>
      <c r="F121" s="88">
        <f>IFERROR(HLOOKUP($B$2,Tab_Din_listagem!$A$2:$SY$333,245,0),"")</f>
        <v>0</v>
      </c>
      <c r="G121" s="89" t="str">
        <f>IFERROR(IF(VLOOKUP($F121,Atletas!$J:$P,4,FALSE)=0,"",VLOOKUP($F121,Atletas!$J:$P,4,FALSE)),"")</f>
        <v/>
      </c>
      <c r="H121" s="90" t="str">
        <f>IFERROR(IF(VLOOKUP($F121,Atletas!$J:$P,5,FALSE)=0,"",VLOOKUP($F121,Atletas!$J:$P,5,FALSE)),"")</f>
        <v/>
      </c>
      <c r="I121" s="86" t="str">
        <f>IFERROR(IF(VLOOKUP($F121,Atletas!$J:$P,2,FALSE)=0,"",VLOOKUP($F121,Atletas!$J:$P,2,FALSE)),"")</f>
        <v/>
      </c>
      <c r="J121" s="95"/>
      <c r="K121" s="95"/>
    </row>
    <row r="122" spans="1:11" ht="17" customHeight="1">
      <c r="A122" s="88">
        <f>IFERROR(HLOOKUP($B$2,Tab_Din_listagem!$A$2:$SY$333,221,0),"")</f>
        <v>0</v>
      </c>
      <c r="B122" s="89" t="str">
        <f>IFERROR(IF(VLOOKUP($A122,Atletas!$J:$P,4,FALSE)=0,"",VLOOKUP($A122,Atletas!$J:$P,4,FALSE)),"")</f>
        <v/>
      </c>
      <c r="C122" s="90" t="str">
        <f>IFERROR(IF(VLOOKUP($A122,Atletas!$J:$P,5,FALSE)=0,"",VLOOKUP($A122,Atletas!$J:$P,5,FALSE)),"")</f>
        <v/>
      </c>
      <c r="D122" s="86" t="str">
        <f>IFERROR(IF(VLOOKUP($A122,Atletas!$J:$P,2,FALSE)=0,"",VLOOKUP($A122,Atletas!$J:$P,2,FALSE)),"")</f>
        <v/>
      </c>
      <c r="E122" s="81"/>
      <c r="F122" s="88">
        <f>IFERROR(HLOOKUP($B$2,Tab_Din_listagem!$A$2:$SY$333,246,0),"")</f>
        <v>0</v>
      </c>
      <c r="G122" s="89" t="str">
        <f>IFERROR(IF(VLOOKUP($F122,Atletas!$J:$P,4,FALSE)=0,"",VLOOKUP($F122,Atletas!$J:$P,4,FALSE)),"")</f>
        <v/>
      </c>
      <c r="H122" s="90" t="str">
        <f>IFERROR(IF(VLOOKUP($F122,Atletas!$J:$P,5,FALSE)=0,"",VLOOKUP($F122,Atletas!$J:$P,5,FALSE)),"")</f>
        <v/>
      </c>
      <c r="I122" s="86" t="str">
        <f>IFERROR(IF(VLOOKUP($F122,Atletas!$J:$P,2,FALSE)=0,"",VLOOKUP($F122,Atletas!$J:$P,2,FALSE)),"")</f>
        <v/>
      </c>
      <c r="J122" s="95"/>
      <c r="K122" s="95"/>
    </row>
    <row r="123" spans="1:11" ht="17" customHeight="1">
      <c r="A123" s="88">
        <f>IFERROR(HLOOKUP($B$2,Tab_Din_listagem!$A$2:$SY$333,222,0),"")</f>
        <v>0</v>
      </c>
      <c r="B123" s="89" t="str">
        <f>IFERROR(IF(VLOOKUP($A123,Atletas!$J:$P,4,FALSE)=0,"",VLOOKUP($A123,Atletas!$J:$P,4,FALSE)),"")</f>
        <v/>
      </c>
      <c r="C123" s="90" t="str">
        <f>IFERROR(IF(VLOOKUP($A123,Atletas!$J:$P,5,FALSE)=0,"",VLOOKUP($A123,Atletas!$J:$P,5,FALSE)),"")</f>
        <v/>
      </c>
      <c r="D123" s="86" t="str">
        <f>IFERROR(IF(VLOOKUP($A123,Atletas!$J:$P,2,FALSE)=0,"",VLOOKUP($A123,Atletas!$J:$P,2,FALSE)),"")</f>
        <v/>
      </c>
      <c r="E123" s="81"/>
      <c r="F123" s="88">
        <f>IFERROR(HLOOKUP($B$2,Tab_Din_listagem!$A$2:$SY$333,247,0),"")</f>
        <v>0</v>
      </c>
      <c r="G123" s="89" t="str">
        <f>IFERROR(IF(VLOOKUP($F123,Atletas!$J:$P,4,FALSE)=0,"",VLOOKUP($F123,Atletas!$J:$P,4,FALSE)),"")</f>
        <v/>
      </c>
      <c r="H123" s="90" t="str">
        <f>IFERROR(IF(VLOOKUP($F123,Atletas!$J:$P,5,FALSE)=0,"",VLOOKUP($F123,Atletas!$J:$P,5,FALSE)),"")</f>
        <v/>
      </c>
      <c r="I123" s="86" t="str">
        <f>IFERROR(IF(VLOOKUP($F123,Atletas!$J:$P,2,FALSE)=0,"",VLOOKUP($F123,Atletas!$J:$P,2,FALSE)),"")</f>
        <v/>
      </c>
      <c r="J123" s="95"/>
      <c r="K123" s="95"/>
    </row>
    <row r="124" spans="1:11" ht="17" customHeight="1">
      <c r="A124" s="88">
        <f>IFERROR(HLOOKUP($B$2,Tab_Din_listagem!$A$2:$SY$333,223,0),"")</f>
        <v>0</v>
      </c>
      <c r="B124" s="89" t="str">
        <f>IFERROR(IF(VLOOKUP($A124,Atletas!$J:$P,4,FALSE)=0,"",VLOOKUP($A124,Atletas!$J:$P,4,FALSE)),"")</f>
        <v/>
      </c>
      <c r="C124" s="90" t="str">
        <f>IFERROR(IF(VLOOKUP($A124,Atletas!$J:$P,5,FALSE)=0,"",VLOOKUP($A124,Atletas!$J:$P,5,FALSE)),"")</f>
        <v/>
      </c>
      <c r="D124" s="86" t="str">
        <f>IFERROR(IF(VLOOKUP($A124,Atletas!$J:$P,2,FALSE)=0,"",VLOOKUP($A124,Atletas!$J:$P,2,FALSE)),"")</f>
        <v/>
      </c>
      <c r="E124" s="81"/>
      <c r="F124" s="88">
        <f>IFERROR(HLOOKUP($B$2,Tab_Din_listagem!$A$2:$SY$333,248,0),"")</f>
        <v>0</v>
      </c>
      <c r="G124" s="89" t="str">
        <f>IFERROR(IF(VLOOKUP($F124,Atletas!$J:$P,4,FALSE)=0,"",VLOOKUP($F124,Atletas!$J:$P,4,FALSE)),"")</f>
        <v/>
      </c>
      <c r="H124" s="90" t="str">
        <f>IFERROR(IF(VLOOKUP($F124,Atletas!$J:$P,5,FALSE)=0,"",VLOOKUP($F124,Atletas!$J:$P,5,FALSE)),"")</f>
        <v/>
      </c>
      <c r="I124" s="86" t="str">
        <f>IFERROR(IF(VLOOKUP($F124,Atletas!$J:$P,2,FALSE)=0,"",VLOOKUP($F124,Atletas!$J:$P,2,FALSE)),"")</f>
        <v/>
      </c>
      <c r="J124" s="95"/>
      <c r="K124" s="95"/>
    </row>
    <row r="125" spans="1:11" ht="17" customHeight="1">
      <c r="A125" s="88">
        <f>IFERROR(HLOOKUP($B$2,Tab_Din_listagem!$A$2:$SY$333,224,0),"")</f>
        <v>0</v>
      </c>
      <c r="B125" s="89" t="str">
        <f>IFERROR(IF(VLOOKUP($A125,Atletas!$J:$P,4,FALSE)=0,"",VLOOKUP($A125,Atletas!$J:$P,4,FALSE)),"")</f>
        <v/>
      </c>
      <c r="C125" s="90" t="str">
        <f>IFERROR(IF(VLOOKUP($A125,Atletas!$J:$P,5,FALSE)=0,"",VLOOKUP($A125,Atletas!$J:$P,5,FALSE)),"")</f>
        <v/>
      </c>
      <c r="D125" s="86" t="str">
        <f>IFERROR(IF(VLOOKUP($A125,Atletas!$J:$P,2,FALSE)=0,"",VLOOKUP($A125,Atletas!$J:$P,2,FALSE)),"")</f>
        <v/>
      </c>
      <c r="E125" s="81"/>
      <c r="F125" s="88">
        <f>IFERROR(HLOOKUP($B$2,Tab_Din_listagem!$A$2:$SY$333,249,0),"")</f>
        <v>0</v>
      </c>
      <c r="G125" s="89" t="str">
        <f>IFERROR(IF(VLOOKUP($F125,Atletas!$J:$P,4,FALSE)=0,"",VLOOKUP($F125,Atletas!$J:$P,4,FALSE)),"")</f>
        <v/>
      </c>
      <c r="H125" s="90" t="str">
        <f>IFERROR(IF(VLOOKUP($F125,Atletas!$J:$P,5,FALSE)=0,"",VLOOKUP($F125,Atletas!$J:$P,5,FALSE)),"")</f>
        <v/>
      </c>
      <c r="I125" s="86" t="str">
        <f>IFERROR(IF(VLOOKUP($F125,Atletas!$J:$P,2,FALSE)=0,"",VLOOKUP($F125,Atletas!$J:$P,2,FALSE)),"")</f>
        <v/>
      </c>
      <c r="J125" s="95"/>
      <c r="K125" s="95"/>
    </row>
    <row r="126" spans="1:11" ht="17" customHeight="1">
      <c r="A126" s="88">
        <f>IFERROR(HLOOKUP($B$2,Tab_Din_listagem!$A$2:$SY$333,225,0),"")</f>
        <v>0</v>
      </c>
      <c r="B126" s="89" t="str">
        <f>IFERROR(IF(VLOOKUP($A126,Atletas!$J:$P,4,FALSE)=0,"",VLOOKUP($A126,Atletas!$J:$P,4,FALSE)),"")</f>
        <v/>
      </c>
      <c r="C126" s="90" t="str">
        <f>IFERROR(IF(VLOOKUP($A126,Atletas!$J:$P,5,FALSE)=0,"",VLOOKUP($A126,Atletas!$J:$P,5,FALSE)),"")</f>
        <v/>
      </c>
      <c r="D126" s="86" t="str">
        <f>IFERROR(IF(VLOOKUP($A126,Atletas!$J:$P,2,FALSE)=0,"",VLOOKUP($A126,Atletas!$J:$P,2,FALSE)),"")</f>
        <v/>
      </c>
      <c r="E126" s="81"/>
      <c r="F126" s="88">
        <f>IFERROR(HLOOKUP($B$2,Tab_Din_listagem!$A$2:$SY$333,250,0),"")</f>
        <v>0</v>
      </c>
      <c r="G126" s="89" t="str">
        <f>IFERROR(IF(VLOOKUP($F126,Atletas!$J:$P,4,FALSE)=0,"",VLOOKUP($F126,Atletas!$J:$P,4,FALSE)),"")</f>
        <v/>
      </c>
      <c r="H126" s="90" t="str">
        <f>IFERROR(IF(VLOOKUP($F126,Atletas!$J:$P,5,FALSE)=0,"",VLOOKUP($F126,Atletas!$J:$P,5,FALSE)),"")</f>
        <v/>
      </c>
      <c r="I126" s="86" t="str">
        <f>IFERROR(IF(VLOOKUP($F126,Atletas!$J:$P,2,FALSE)=0,"",VLOOKUP($F126,Atletas!$J:$P,2,FALSE)),"")</f>
        <v/>
      </c>
      <c r="J126" s="95"/>
      <c r="K126" s="95"/>
    </row>
    <row r="127" spans="1:11" ht="17" customHeight="1">
      <c r="A127" s="88">
        <f>IFERROR(HLOOKUP($B$2,Tab_Din_listagem!$A$2:$SY$333,226,0),"")</f>
        <v>0</v>
      </c>
      <c r="B127" s="89" t="str">
        <f>IFERROR(IF(VLOOKUP($A127,Atletas!$J:$P,4,FALSE)=0,"",VLOOKUP($A127,Atletas!$J:$P,4,FALSE)),"")</f>
        <v/>
      </c>
      <c r="C127" s="90" t="str">
        <f>IFERROR(IF(VLOOKUP($A127,Atletas!$J:$P,5,FALSE)=0,"",VLOOKUP($A127,Atletas!$J:$P,5,FALSE)),"")</f>
        <v/>
      </c>
      <c r="D127" s="86" t="str">
        <f>IFERROR(IF(VLOOKUP($A127,Atletas!$J:$P,2,FALSE)=0,"",VLOOKUP($A127,Atletas!$J:$P,2,FALSE)),"")</f>
        <v/>
      </c>
      <c r="E127" s="81"/>
      <c r="F127" s="88">
        <f>IFERROR(HLOOKUP($B$2,Tab_Din_listagem!$A$2:$SY$333,251,0),"")</f>
        <v>0</v>
      </c>
      <c r="G127" s="89" t="str">
        <f>IFERROR(IF(VLOOKUP($F127,Atletas!$J:$P,4,FALSE)=0,"",VLOOKUP($F127,Atletas!$J:$P,4,FALSE)),"")</f>
        <v/>
      </c>
      <c r="H127" s="90" t="str">
        <f>IFERROR(IF(VLOOKUP($F127,Atletas!$J:$P,5,FALSE)=0,"",VLOOKUP($F127,Atletas!$J:$P,5,FALSE)),"")</f>
        <v/>
      </c>
      <c r="I127" s="86" t="str">
        <f>IFERROR(IF(VLOOKUP($F127,Atletas!$J:$P,2,FALSE)=0,"",VLOOKUP($F127,Atletas!$J:$P,2,FALSE)),"")</f>
        <v/>
      </c>
      <c r="J127" s="95"/>
      <c r="K127" s="95"/>
    </row>
    <row r="128" spans="1:11" ht="17" customHeight="1">
      <c r="A128" s="88">
        <f>IFERROR(HLOOKUP($B$2,Tab_Din_listagem!$A$2:$SY$333,227,0),"")</f>
        <v>0</v>
      </c>
      <c r="B128" s="89" t="str">
        <f>IFERROR(IF(VLOOKUP($A128,Atletas!$J:$P,4,FALSE)=0,"",VLOOKUP($A128,Atletas!$J:$P,4,FALSE)),"")</f>
        <v/>
      </c>
      <c r="C128" s="90" t="str">
        <f>IFERROR(IF(VLOOKUP($A128,Atletas!$J:$P,5,FALSE)=0,"",VLOOKUP($A128,Atletas!$J:$P,5,FALSE)),"")</f>
        <v/>
      </c>
      <c r="D128" s="86" t="str">
        <f>IFERROR(IF(VLOOKUP($A128,Atletas!$J:$P,2,FALSE)=0,"",VLOOKUP($A128,Atletas!$J:$P,2,FALSE)),"")</f>
        <v/>
      </c>
      <c r="E128" s="81"/>
      <c r="F128" s="88">
        <f>IFERROR(HLOOKUP($B$2,Tab_Din_listagem!$A$2:$SY$333,252,0),"")</f>
        <v>0</v>
      </c>
      <c r="G128" s="89" t="str">
        <f>IFERROR(IF(VLOOKUP($F128,Atletas!$J:$P,4,FALSE)=0,"",VLOOKUP($F128,Atletas!$J:$P,4,FALSE)),"")</f>
        <v/>
      </c>
      <c r="H128" s="90" t="str">
        <f>IFERROR(IF(VLOOKUP($F128,Atletas!$J:$P,5,FALSE)=0,"",VLOOKUP($F128,Atletas!$J:$P,5,FALSE)),"")</f>
        <v/>
      </c>
      <c r="I128" s="86" t="str">
        <f>IFERROR(IF(VLOOKUP($F128,Atletas!$J:$P,2,FALSE)=0,"",VLOOKUP($F128,Atletas!$J:$P,2,FALSE)),"")</f>
        <v/>
      </c>
      <c r="J128" s="95"/>
      <c r="K128" s="95"/>
    </row>
    <row r="129" spans="1:11" ht="17" customHeight="1">
      <c r="A129" s="91">
        <f>IFERROR(HLOOKUP($B$2,Tab_Din_listagem!$A$2:$SY$333,228,0),"")</f>
        <v>0</v>
      </c>
      <c r="B129" s="92" t="str">
        <f>IFERROR(IF(VLOOKUP($A129,Atletas!$J:$P,4,FALSE)=0,"",VLOOKUP($A129,Atletas!$J:$P,4,FALSE)),"")</f>
        <v/>
      </c>
      <c r="C129" s="93" t="str">
        <f>IFERROR(IF(VLOOKUP($A129,Atletas!$J:$P,5,FALSE)=0,"",VLOOKUP($A129,Atletas!$J:$P,5,FALSE)),"")</f>
        <v/>
      </c>
      <c r="D129" s="94" t="str">
        <f>IFERROR(IF(VLOOKUP($A129,Atletas!$J:$P,2,FALSE)=0,"",VLOOKUP($A129,Atletas!$J:$P,2,FALSE)),"")</f>
        <v/>
      </c>
      <c r="E129" s="81"/>
      <c r="F129" s="103">
        <f>IFERROR(HLOOKUP($B$2,Tab_Din_listagem!$A$2:$SY$333,253,0),"")</f>
        <v>0</v>
      </c>
      <c r="G129" s="104" t="str">
        <f>IFERROR(IF(VLOOKUP($F129,Atletas!$J:$P,4,FALSE)=0,"",VLOOKUP($F129,Atletas!$J:$P,4,FALSE)),"")</f>
        <v/>
      </c>
      <c r="H129" s="102" t="str">
        <f>IFERROR(IF(VLOOKUP($F129,Atletas!$J:$P,5,FALSE)=0,"",VLOOKUP($F129,Atletas!$J:$P,5,FALSE)),"")</f>
        <v/>
      </c>
      <c r="I129" s="105" t="str">
        <f>IFERROR(IF(VLOOKUP($F129,Atletas!$J:$P,2,FALSE)=0,"",VLOOKUP($F129,Atletas!$J:$P,2,FALSE)),"")</f>
        <v/>
      </c>
      <c r="J129" s="95"/>
      <c r="K129" s="95"/>
    </row>
    <row r="130" spans="1:11" ht="127" customHeight="1">
      <c r="A130" s="95"/>
      <c r="B130" s="96"/>
      <c r="C130" s="95"/>
      <c r="D130" s="97"/>
      <c r="E130" s="95"/>
      <c r="F130" s="95"/>
      <c r="G130" s="95"/>
      <c r="H130" s="95"/>
      <c r="I130" s="95"/>
      <c r="J130" s="95"/>
      <c r="K130" s="95"/>
    </row>
    <row r="131" spans="1:11" ht="127" customHeight="1">
      <c r="A131" s="95"/>
      <c r="B131" s="96"/>
      <c r="C131" s="95"/>
      <c r="D131" s="97"/>
      <c r="E131" s="95"/>
      <c r="F131" s="95"/>
      <c r="G131" s="95"/>
      <c r="H131" s="95"/>
      <c r="I131" s="95"/>
      <c r="J131" s="95"/>
      <c r="K131" s="95"/>
    </row>
    <row r="132" spans="1:11" ht="127" customHeight="1">
      <c r="A132" s="95"/>
      <c r="B132" s="96"/>
      <c r="C132" s="95"/>
      <c r="D132" s="97"/>
      <c r="E132" s="95"/>
      <c r="F132" s="95"/>
      <c r="G132" s="95"/>
      <c r="H132" s="95"/>
      <c r="I132" s="95"/>
      <c r="J132" s="95"/>
      <c r="K132" s="95"/>
    </row>
    <row r="133" spans="1:11" ht="127" customHeight="1">
      <c r="A133" s="95"/>
      <c r="B133" s="96"/>
      <c r="C133" s="95"/>
      <c r="D133" s="97"/>
      <c r="E133" s="95"/>
      <c r="F133" s="95"/>
      <c r="G133" s="95"/>
      <c r="H133" s="95"/>
      <c r="I133" s="95"/>
      <c r="J133" s="95"/>
      <c r="K133" s="95"/>
    </row>
    <row r="134" spans="1:11" ht="127" customHeight="1">
      <c r="A134" s="95"/>
      <c r="B134" s="96"/>
      <c r="C134" s="95"/>
      <c r="D134" s="97"/>
      <c r="E134" s="95"/>
      <c r="F134" s="95"/>
      <c r="G134" s="95"/>
      <c r="H134" s="95"/>
      <c r="I134" s="95"/>
      <c r="J134" s="95"/>
      <c r="K134" s="95"/>
    </row>
  </sheetData>
  <sheetProtection algorithmName="SHA-512" hashValue="mhwrKwSaYxQIe8G80gtaMQlZqZVAAszg9zJGR/7LXSY62nS/fhPwxyOEeAdmXfMcKIfh3tyw3aHbjrP7UvaFwg==" saltValue="t6Z/6uu7lVZoW89Hrnjoew==" spinCount="100000" sheet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 xr:uid="{00000000-0002-0000-0200-000000000000}">
      <formula1>$M$5:$M$64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A5:I129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ADM2020"/>
  <sheetViews>
    <sheetView workbookViewId="0">
      <pane ySplit="1" topLeftCell="A1338" activePane="bottomLeft" state="frozen"/>
      <selection activeCell="R19" sqref="R19"/>
      <selection pane="bottomLeft" activeCell="R19" sqref="R19"/>
    </sheetView>
  </sheetViews>
  <sheetFormatPr baseColWidth="10" defaultColWidth="8.83203125" defaultRowHeight="15" customHeight="1"/>
  <cols>
    <col min="1" max="1" width="10.33203125" style="3" bestFit="1" customWidth="1"/>
    <col min="2" max="2" width="8.83203125" style="32" customWidth="1"/>
    <col min="3" max="3" width="19" style="4" customWidth="1"/>
    <col min="4" max="4" width="9.1640625" style="35" customWidth="1"/>
    <col min="5" max="5" width="7" style="5" customWidth="1"/>
    <col min="6" max="6" width="9.1640625" style="4" customWidth="1"/>
    <col min="7" max="7" width="9.1640625" style="57" customWidth="1"/>
    <col min="8" max="8" width="6.83203125" style="65" customWidth="1"/>
    <col min="9" max="9" width="12.33203125" style="35" customWidth="1"/>
    <col min="10" max="10" width="14.83203125" style="35" customWidth="1"/>
    <col min="11" max="11" width="5" style="37" customWidth="1"/>
    <col min="12" max="12" width="7.5" style="37" customWidth="1"/>
    <col min="13" max="13" width="6.33203125" style="37" customWidth="1"/>
    <col min="14" max="14" width="9" style="37" customWidth="1"/>
    <col min="15" max="15" width="4.1640625" style="37" customWidth="1"/>
    <col min="16" max="16" width="6.1640625" style="37" customWidth="1"/>
    <col min="17" max="17" width="11.83203125" style="35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68" t="s">
        <v>0</v>
      </c>
      <c r="B1" s="69" t="s">
        <v>1414</v>
      </c>
      <c r="C1" s="70" t="s">
        <v>1</v>
      </c>
      <c r="D1" s="71" t="s">
        <v>3</v>
      </c>
      <c r="E1" s="70" t="s">
        <v>2</v>
      </c>
      <c r="F1" s="72" t="s">
        <v>9</v>
      </c>
      <c r="G1" s="66" t="s">
        <v>127</v>
      </c>
      <c r="H1" s="67" t="s">
        <v>321</v>
      </c>
      <c r="I1" s="33"/>
      <c r="J1" s="73" t="s">
        <v>1</v>
      </c>
      <c r="K1" s="74" t="s">
        <v>0</v>
      </c>
      <c r="L1" s="74" t="s">
        <v>15</v>
      </c>
      <c r="M1" s="74" t="s">
        <v>9</v>
      </c>
      <c r="N1" s="74" t="s">
        <v>127</v>
      </c>
      <c r="O1" s="74" t="s">
        <v>2</v>
      </c>
      <c r="P1" s="74" t="s">
        <v>3</v>
      </c>
      <c r="Q1" s="33"/>
      <c r="R1" s="74" t="s">
        <v>507</v>
      </c>
      <c r="S1"/>
      <c r="T1"/>
      <c r="U1"/>
      <c r="V1"/>
      <c r="W1"/>
      <c r="X1"/>
      <c r="Y1"/>
      <c r="Z1"/>
    </row>
    <row r="2" spans="1:793" s="1" customFormat="1" ht="15" customHeight="1">
      <c r="A2" s="28">
        <v>876</v>
      </c>
      <c r="B2" s="28">
        <v>129831</v>
      </c>
      <c r="C2" s="129" t="s">
        <v>665</v>
      </c>
      <c r="D2" s="128" t="s">
        <v>671</v>
      </c>
      <c r="E2" s="128" t="s">
        <v>145</v>
      </c>
      <c r="F2" s="29">
        <v>21057</v>
      </c>
      <c r="G2" s="56" t="str">
        <f ca="1">IFERROR(IF(YEAR(TODAY())-YEAR(F2)&lt;7," ",IF(YEAR(TODAY())-YEAR(F2)&lt;10,"Benj. A",IF(YEAR(TODAY())-YEAR(F2)&lt;12,"Benj. B",IF(YEAR(TODAY())-YEAR(F2)&lt;14,"Infantil",IF(YEAR(TODAY())-YEAR(F2)&lt;16,"Iniciado",IF(YEAR(TODAY())-YEAR(F2)&lt;18,"Juvenil",IF(YEAR(TODAY())-YEAR(F2)&lt;20,"Júnior",IF(YEAR(TODAY())-YEAR(F2)&lt;23,"sub 23",IF(ROUNDDOWN(INT(TODAY()-F2)/365.25,0)&lt;35,"Sénior",IF(ROUNDDOWN(INT(TODAY()-F2)/365.25,0)&lt;40,"V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65",IF(ROUNDDOWN(INT(TODAY()-F2)/365.25,0)&lt;75,"V 70",IF(ROUNDDOWN(INT(TODAY()-F2)/365.25,0)&lt;80,"V 75",IF(ROUNDDOWN(INT(TODAY()-F2)/365.25,0)&lt;85,"V 80",IF(ROUNDDOWN(INT(TODAY()-F2)/365.25,0)&lt;90,"V 85",IF(ROUNDDOWN(INT(TODAY()-F2)/365.25,0)&lt;95,"V 90",IF(ROUNDDOWN(INT(TODAY()-F2)/365.25,0)&lt;100,"V 95",IF(ROUNDDOWN(INT(TODAY()-F2)/365.25,0)&gt;=100,"V 100",""))))))))))))))))))))))),"")</f>
        <v>V 60</v>
      </c>
      <c r="H2" s="28">
        <f t="shared" ref="H2" ca="1" si="0">IFERROR(IF($A2&gt;0,ROUNDDOWN(INT(TODAY()-F2)/365.25,0),""),"")</f>
        <v>63</v>
      </c>
      <c r="I2" s="34"/>
      <c r="J2" s="38" t="str">
        <f t="shared" ref="J2:J65" si="1">C2</f>
        <v>Rui Castro</v>
      </c>
      <c r="K2" s="39">
        <f t="shared" ref="K2:K65" si="2">A2</f>
        <v>876</v>
      </c>
      <c r="L2" s="39">
        <f t="shared" ref="L2:L65" si="3">B2</f>
        <v>129831</v>
      </c>
      <c r="M2" s="40">
        <f>F2</f>
        <v>21057</v>
      </c>
      <c r="N2" s="41" t="str">
        <f ca="1">G2</f>
        <v>V 60</v>
      </c>
      <c r="O2" s="41" t="str">
        <f t="shared" ref="O2:O65" si="4">E2</f>
        <v>M</v>
      </c>
      <c r="P2" s="60" t="str">
        <f t="shared" ref="P2:P65" si="5">D2</f>
        <v>VIP-RC</v>
      </c>
      <c r="Q2" s="61"/>
      <c r="R2" s="61" t="s">
        <v>484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3">
      <c r="A3" s="28">
        <v>267</v>
      </c>
      <c r="B3" s="28">
        <v>131666</v>
      </c>
      <c r="C3" s="129" t="s">
        <v>914</v>
      </c>
      <c r="D3" s="128" t="s">
        <v>671</v>
      </c>
      <c r="E3" s="128" t="s">
        <v>146</v>
      </c>
      <c r="F3" s="29">
        <v>28061</v>
      </c>
      <c r="G3" s="5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B",IF(YEAR(TODAY())-YEAR(F3)&lt;14,"Infantil",IF(YEAR(TODAY())-YEAR(F3)&lt;16,"Iniciado",IF(YEAR(TODAY())-YEAR(F3)&lt;18,"Juvenil",IF(YEAR(TODAY())-YEAR(F3)&lt;20,"Júnior",IF(YEAR(TODAY())-YEAR(F3)&lt;23,"sub 23",IF(ROUNDDOWN(INT(TODAY()-F3)/365.25,0)&lt;35,"Sénior",IF(ROUNDDOWN(INT(TODAY()-F3)/365.25,0)&lt;40,"V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65",IF(ROUNDDOWN(INT(TODAY()-F3)/365.25,0)&lt;75,"V 70",IF(ROUNDDOWN(INT(TODAY()-F3)/365.25,0)&lt;80,"V 75",IF(ROUNDDOWN(INT(TODAY()-F3)/365.25,0)&lt;85,"V 80",IF(ROUNDDOWN(INT(TODAY()-F3)/365.25,0)&lt;90,"V 85",IF(ROUNDDOWN(INT(TODAY()-F3)/365.25,0)&lt;95,"V 90",IF(ROUNDDOWN(INT(TODAY()-F3)/365.25,0)&lt;100,"V 95",IF(ROUNDDOWN(INT(TODAY()-F3)/365.25,0)&gt;=100,"V 100",""))))))))))))))))))))))),"")</f>
        <v>V 40</v>
      </c>
      <c r="H3" s="28">
        <f t="shared" ref="H3:H66" ca="1" si="7">IFERROR(IF($A3&gt;0,ROUNDDOWN(INT(TODAY()-F3)/365.25,0),""),"")</f>
        <v>44</v>
      </c>
      <c r="I3" s="34"/>
      <c r="J3" s="38" t="str">
        <f t="shared" si="1"/>
        <v>Graciela Chaves</v>
      </c>
      <c r="K3" s="39">
        <f t="shared" si="2"/>
        <v>267</v>
      </c>
      <c r="L3" s="39">
        <f t="shared" si="3"/>
        <v>131666</v>
      </c>
      <c r="M3" s="40">
        <f t="shared" ref="M3:M66" si="8">F3</f>
        <v>28061</v>
      </c>
      <c r="N3" s="41" t="str">
        <f t="shared" ref="N3:N66" ca="1" si="9">G3</f>
        <v>V 40</v>
      </c>
      <c r="O3" s="41" t="str">
        <f t="shared" si="4"/>
        <v>F</v>
      </c>
      <c r="P3" s="60" t="str">
        <f t="shared" si="5"/>
        <v>VIP-RC</v>
      </c>
      <c r="Q3" s="61"/>
      <c r="R3" s="61" t="s">
        <v>482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28">
        <v>241</v>
      </c>
      <c r="B4" s="28">
        <v>161270</v>
      </c>
      <c r="C4" s="129" t="s">
        <v>1369</v>
      </c>
      <c r="D4" s="128" t="s">
        <v>148</v>
      </c>
      <c r="E4" s="128" t="s">
        <v>146</v>
      </c>
      <c r="F4" s="29">
        <v>28556</v>
      </c>
      <c r="G4" s="56" t="str">
        <f t="shared" ca="1" si="6"/>
        <v>V 40</v>
      </c>
      <c r="H4" s="28">
        <f t="shared" ca="1" si="7"/>
        <v>43</v>
      </c>
      <c r="J4" s="38" t="str">
        <f t="shared" si="1"/>
        <v>Cristina Brazão</v>
      </c>
      <c r="K4" s="39">
        <f t="shared" si="2"/>
        <v>241</v>
      </c>
      <c r="L4" s="39">
        <f t="shared" si="3"/>
        <v>161270</v>
      </c>
      <c r="M4" s="40">
        <f t="shared" si="8"/>
        <v>28556</v>
      </c>
      <c r="N4" s="41" t="str">
        <f t="shared" ca="1" si="9"/>
        <v>V 40</v>
      </c>
      <c r="O4" s="41" t="str">
        <f t="shared" si="4"/>
        <v>F</v>
      </c>
      <c r="P4" s="60" t="str">
        <f t="shared" si="5"/>
        <v>IND-M</v>
      </c>
      <c r="Q4" s="61"/>
      <c r="R4" t="s">
        <v>387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28">
        <v>962</v>
      </c>
      <c r="B5" s="28">
        <v>130567</v>
      </c>
      <c r="C5" s="129" t="s">
        <v>898</v>
      </c>
      <c r="D5" s="128" t="s">
        <v>148</v>
      </c>
      <c r="E5" s="128" t="s">
        <v>145</v>
      </c>
      <c r="F5" s="29">
        <v>23546</v>
      </c>
      <c r="G5" s="56" t="str">
        <f t="shared" ca="1" si="6"/>
        <v>V 55</v>
      </c>
      <c r="H5" s="28">
        <f t="shared" ca="1" si="7"/>
        <v>56</v>
      </c>
      <c r="J5" s="38" t="str">
        <f t="shared" si="1"/>
        <v>Rui Carvalho</v>
      </c>
      <c r="K5" s="39">
        <f t="shared" si="2"/>
        <v>962</v>
      </c>
      <c r="L5" s="39">
        <f t="shared" si="3"/>
        <v>130567</v>
      </c>
      <c r="M5" s="40">
        <f t="shared" si="8"/>
        <v>23546</v>
      </c>
      <c r="N5" s="41" t="str">
        <f t="shared" ca="1" si="9"/>
        <v>V 55</v>
      </c>
      <c r="O5" s="41" t="str">
        <f t="shared" si="4"/>
        <v>M</v>
      </c>
      <c r="P5" s="60" t="str">
        <f t="shared" si="5"/>
        <v>IND-M</v>
      </c>
      <c r="Q5" s="61"/>
      <c r="R5" t="s">
        <v>386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28">
        <v>2230</v>
      </c>
      <c r="B6" s="28">
        <v>158281</v>
      </c>
      <c r="C6" s="129" t="s">
        <v>1140</v>
      </c>
      <c r="D6" s="128" t="s">
        <v>124</v>
      </c>
      <c r="E6" s="128" t="s">
        <v>145</v>
      </c>
      <c r="F6" s="29">
        <v>40671</v>
      </c>
      <c r="G6" s="56" t="str">
        <f t="shared" ca="1" si="6"/>
        <v>Benjamim B</v>
      </c>
      <c r="H6" s="28">
        <f t="shared" ca="1" si="7"/>
        <v>9</v>
      </c>
      <c r="J6" s="38" t="str">
        <f t="shared" si="1"/>
        <v>Miguel Oliveira</v>
      </c>
      <c r="K6" s="39">
        <f t="shared" si="2"/>
        <v>2230</v>
      </c>
      <c r="L6" s="39">
        <f t="shared" si="3"/>
        <v>158281</v>
      </c>
      <c r="M6" s="40">
        <f t="shared" si="8"/>
        <v>40671</v>
      </c>
      <c r="N6" s="41" t="str">
        <f t="shared" ca="1" si="9"/>
        <v>Benjamim B</v>
      </c>
      <c r="O6" s="41" t="str">
        <f t="shared" si="4"/>
        <v>M</v>
      </c>
      <c r="P6" s="60" t="str">
        <f t="shared" si="5"/>
        <v>CSM</v>
      </c>
      <c r="Q6" s="61"/>
      <c r="R6" t="s">
        <v>388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28">
        <v>2080</v>
      </c>
      <c r="B7" s="28">
        <v>155969</v>
      </c>
      <c r="C7" s="129" t="s">
        <v>1047</v>
      </c>
      <c r="D7" s="128" t="s">
        <v>124</v>
      </c>
      <c r="E7" s="128" t="s">
        <v>146</v>
      </c>
      <c r="F7" s="29">
        <v>40278</v>
      </c>
      <c r="G7" s="56" t="str">
        <f t="shared" ca="1" si="6"/>
        <v>Benjamim B</v>
      </c>
      <c r="H7" s="28">
        <f t="shared" ca="1" si="7"/>
        <v>11</v>
      </c>
      <c r="J7" s="38" t="str">
        <f t="shared" si="1"/>
        <v>Adriana Freitas</v>
      </c>
      <c r="K7" s="39">
        <f t="shared" si="2"/>
        <v>2080</v>
      </c>
      <c r="L7" s="39">
        <f t="shared" si="3"/>
        <v>155969</v>
      </c>
      <c r="M7" s="40">
        <f t="shared" si="8"/>
        <v>40278</v>
      </c>
      <c r="N7" s="41" t="str">
        <f t="shared" ca="1" si="9"/>
        <v>Benjamim B</v>
      </c>
      <c r="O7" s="41" t="str">
        <f t="shared" si="4"/>
        <v>F</v>
      </c>
      <c r="P7" s="60" t="str">
        <f t="shared" si="5"/>
        <v>CSM</v>
      </c>
      <c r="Q7" s="61"/>
      <c r="R7" t="s">
        <v>481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28">
        <v>1769</v>
      </c>
      <c r="B8" s="28">
        <v>139564</v>
      </c>
      <c r="C8" s="129" t="s">
        <v>445</v>
      </c>
      <c r="D8" s="128" t="s">
        <v>124</v>
      </c>
      <c r="E8" s="128" t="s">
        <v>146</v>
      </c>
      <c r="F8" s="29">
        <v>38987</v>
      </c>
      <c r="G8" s="56" t="str">
        <f t="shared" ca="1" si="6"/>
        <v>Iniciado</v>
      </c>
      <c r="H8" s="28">
        <f t="shared" ca="1" si="7"/>
        <v>14</v>
      </c>
      <c r="J8" s="38" t="str">
        <f t="shared" si="1"/>
        <v>Estela Martins</v>
      </c>
      <c r="K8" s="39">
        <f t="shared" si="2"/>
        <v>1769</v>
      </c>
      <c r="L8" s="39">
        <f t="shared" si="3"/>
        <v>139564</v>
      </c>
      <c r="M8" s="40">
        <f t="shared" si="8"/>
        <v>38987</v>
      </c>
      <c r="N8" s="41" t="str">
        <f t="shared" ca="1" si="9"/>
        <v>Iniciado</v>
      </c>
      <c r="O8" s="41" t="str">
        <f t="shared" si="4"/>
        <v>F</v>
      </c>
      <c r="P8" s="60" t="str">
        <f t="shared" si="5"/>
        <v>CSM</v>
      </c>
      <c r="Q8" s="61"/>
      <c r="R8" t="s">
        <v>483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28">
        <v>1770</v>
      </c>
      <c r="B9" s="28">
        <v>138468</v>
      </c>
      <c r="C9" s="129" t="s">
        <v>438</v>
      </c>
      <c r="D9" s="128" t="s">
        <v>124</v>
      </c>
      <c r="E9" s="128" t="s">
        <v>146</v>
      </c>
      <c r="F9" s="29">
        <v>38860</v>
      </c>
      <c r="G9" s="56" t="str">
        <f t="shared" ca="1" si="6"/>
        <v>Iniciado</v>
      </c>
      <c r="H9" s="28">
        <f t="shared" ca="1" si="7"/>
        <v>14</v>
      </c>
      <c r="J9" s="38" t="str">
        <f t="shared" si="1"/>
        <v>Maria João Camacho</v>
      </c>
      <c r="K9" s="39">
        <f t="shared" si="2"/>
        <v>1770</v>
      </c>
      <c r="L9" s="39">
        <f t="shared" si="3"/>
        <v>138468</v>
      </c>
      <c r="M9" s="40">
        <f t="shared" si="8"/>
        <v>38860</v>
      </c>
      <c r="N9" s="41" t="str">
        <f t="shared" ca="1" si="9"/>
        <v>Iniciado</v>
      </c>
      <c r="O9" s="41" t="str">
        <f t="shared" si="4"/>
        <v>F</v>
      </c>
      <c r="P9" s="60" t="str">
        <f t="shared" si="5"/>
        <v>CSM</v>
      </c>
      <c r="Q9" s="61"/>
      <c r="R9" t="s">
        <v>389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28">
        <v>1568</v>
      </c>
      <c r="B10" s="28">
        <v>146936</v>
      </c>
      <c r="C10" s="129" t="s">
        <v>632</v>
      </c>
      <c r="D10" s="128" t="s">
        <v>124</v>
      </c>
      <c r="E10" s="128" t="s">
        <v>146</v>
      </c>
      <c r="F10" s="29">
        <v>38365</v>
      </c>
      <c r="G10" s="56" t="str">
        <f t="shared" ca="1" si="6"/>
        <v>Juvenil</v>
      </c>
      <c r="H10" s="28">
        <f t="shared" ca="1" si="7"/>
        <v>16</v>
      </c>
      <c r="J10" s="38" t="str">
        <f t="shared" si="1"/>
        <v>Ana Vieira</v>
      </c>
      <c r="K10" s="39">
        <f t="shared" si="2"/>
        <v>1568</v>
      </c>
      <c r="L10" s="39">
        <f t="shared" si="3"/>
        <v>146936</v>
      </c>
      <c r="M10" s="40">
        <f t="shared" si="8"/>
        <v>38365</v>
      </c>
      <c r="N10" s="41" t="str">
        <f t="shared" ca="1" si="9"/>
        <v>Juvenil</v>
      </c>
      <c r="O10" s="41" t="str">
        <f t="shared" si="4"/>
        <v>F</v>
      </c>
      <c r="P10" s="60" t="str">
        <f t="shared" si="5"/>
        <v>CSM</v>
      </c>
      <c r="Q10" s="61"/>
      <c r="R10" t="s">
        <v>485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28">
        <v>206</v>
      </c>
      <c r="B11" s="28">
        <v>125540</v>
      </c>
      <c r="C11" s="129" t="s">
        <v>248</v>
      </c>
      <c r="D11" s="128" t="s">
        <v>124</v>
      </c>
      <c r="E11" s="128" t="s">
        <v>146</v>
      </c>
      <c r="F11" s="29">
        <v>37145</v>
      </c>
      <c r="G11" s="56" t="str">
        <f t="shared" ca="1" si="6"/>
        <v>sub 23</v>
      </c>
      <c r="H11" s="28">
        <f t="shared" ca="1" si="7"/>
        <v>19</v>
      </c>
      <c r="J11" s="38" t="str">
        <f t="shared" si="1"/>
        <v>Alexandra Silva</v>
      </c>
      <c r="K11" s="39">
        <f t="shared" si="2"/>
        <v>206</v>
      </c>
      <c r="L11" s="39">
        <f t="shared" si="3"/>
        <v>125540</v>
      </c>
      <c r="M11" s="40">
        <f t="shared" si="8"/>
        <v>37145</v>
      </c>
      <c r="N11" s="41" t="str">
        <f t="shared" ca="1" si="9"/>
        <v>sub 23</v>
      </c>
      <c r="O11" s="41" t="str">
        <f t="shared" si="4"/>
        <v>F</v>
      </c>
      <c r="P11" s="60" t="str">
        <f t="shared" si="5"/>
        <v>CSM</v>
      </c>
      <c r="Q11" s="61"/>
      <c r="R11" t="s">
        <v>480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28">
        <v>1033</v>
      </c>
      <c r="B12" s="28">
        <v>151136</v>
      </c>
      <c r="C12" s="129" t="s">
        <v>802</v>
      </c>
      <c r="D12" s="128" t="s">
        <v>124</v>
      </c>
      <c r="E12" s="128" t="s">
        <v>145</v>
      </c>
      <c r="F12" s="29">
        <v>36828</v>
      </c>
      <c r="G12" s="56" t="str">
        <f t="shared" ca="1" si="6"/>
        <v>sub 23</v>
      </c>
      <c r="H12" s="28">
        <f t="shared" ca="1" si="7"/>
        <v>20</v>
      </c>
      <c r="J12" s="38" t="str">
        <f t="shared" si="1"/>
        <v>Igor Silva</v>
      </c>
      <c r="K12" s="39">
        <f t="shared" si="2"/>
        <v>1033</v>
      </c>
      <c r="L12" s="39">
        <f t="shared" si="3"/>
        <v>151136</v>
      </c>
      <c r="M12" s="40">
        <f t="shared" si="8"/>
        <v>36828</v>
      </c>
      <c r="N12" s="41" t="str">
        <f t="shared" ca="1" si="9"/>
        <v>sub 23</v>
      </c>
      <c r="O12" s="41" t="str">
        <f t="shared" si="4"/>
        <v>M</v>
      </c>
      <c r="P12" s="60" t="str">
        <f t="shared" si="5"/>
        <v>CSM</v>
      </c>
      <c r="Q12" s="61"/>
      <c r="R12" t="s">
        <v>488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28">
        <v>1032</v>
      </c>
      <c r="B13" s="28">
        <v>146161</v>
      </c>
      <c r="C13" s="129" t="s">
        <v>633</v>
      </c>
      <c r="D13" s="128" t="s">
        <v>124</v>
      </c>
      <c r="E13" s="128" t="s">
        <v>145</v>
      </c>
      <c r="F13" s="29">
        <v>31022</v>
      </c>
      <c r="G13" s="56" t="str">
        <f t="shared" ca="1" si="6"/>
        <v>V 35</v>
      </c>
      <c r="H13" s="28">
        <f t="shared" ca="1" si="7"/>
        <v>36</v>
      </c>
      <c r="J13" s="38" t="str">
        <f t="shared" si="1"/>
        <v>Rodrigo Sousa</v>
      </c>
      <c r="K13" s="39">
        <f t="shared" si="2"/>
        <v>1032</v>
      </c>
      <c r="L13" s="39">
        <f t="shared" si="3"/>
        <v>146161</v>
      </c>
      <c r="M13" s="40">
        <f t="shared" si="8"/>
        <v>31022</v>
      </c>
      <c r="N13" s="41" t="str">
        <f t="shared" ca="1" si="9"/>
        <v>V 35</v>
      </c>
      <c r="O13" s="41" t="str">
        <f t="shared" si="4"/>
        <v>M</v>
      </c>
      <c r="P13" s="60" t="str">
        <f t="shared" si="5"/>
        <v>CSM</v>
      </c>
      <c r="Q13" s="61"/>
      <c r="R13" t="s">
        <v>486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28">
        <v>211</v>
      </c>
      <c r="B14" s="28">
        <v>124533</v>
      </c>
      <c r="C14" s="129" t="s">
        <v>249</v>
      </c>
      <c r="D14" s="128" t="s">
        <v>124</v>
      </c>
      <c r="E14" s="128" t="s">
        <v>146</v>
      </c>
      <c r="F14" s="29">
        <v>30723</v>
      </c>
      <c r="G14" s="56" t="str">
        <f t="shared" ca="1" si="6"/>
        <v>V 35</v>
      </c>
      <c r="H14" s="28">
        <f t="shared" ca="1" si="7"/>
        <v>37</v>
      </c>
      <c r="J14" s="38" t="str">
        <f t="shared" si="1"/>
        <v>Filipa Freitas</v>
      </c>
      <c r="K14" s="39">
        <f t="shared" si="2"/>
        <v>211</v>
      </c>
      <c r="L14" s="39">
        <f t="shared" si="3"/>
        <v>124533</v>
      </c>
      <c r="M14" s="40">
        <f t="shared" si="8"/>
        <v>30723</v>
      </c>
      <c r="N14" s="41" t="str">
        <f t="shared" ca="1" si="9"/>
        <v>V 35</v>
      </c>
      <c r="O14" s="41" t="str">
        <f t="shared" si="4"/>
        <v>F</v>
      </c>
      <c r="P14" s="60" t="str">
        <f t="shared" si="5"/>
        <v>CSM</v>
      </c>
      <c r="Q14" s="61"/>
      <c r="R14" t="s">
        <v>489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28">
        <v>242</v>
      </c>
      <c r="B15" s="28">
        <v>162872</v>
      </c>
      <c r="C15" s="129" t="s">
        <v>1489</v>
      </c>
      <c r="D15" s="128" t="s">
        <v>148</v>
      </c>
      <c r="E15" s="128" t="s">
        <v>146</v>
      </c>
      <c r="F15" s="29">
        <v>28885</v>
      </c>
      <c r="G15" s="56" t="str">
        <f t="shared" ca="1" si="6"/>
        <v>V 40</v>
      </c>
      <c r="H15" s="28">
        <f t="shared" ca="1" si="7"/>
        <v>42</v>
      </c>
      <c r="J15" s="38" t="str">
        <f t="shared" si="1"/>
        <v>Susana Alegria</v>
      </c>
      <c r="K15" s="39">
        <f t="shared" si="2"/>
        <v>242</v>
      </c>
      <c r="L15" s="39">
        <f t="shared" si="3"/>
        <v>162872</v>
      </c>
      <c r="M15" s="40">
        <f t="shared" si="8"/>
        <v>28885</v>
      </c>
      <c r="N15" s="41" t="str">
        <f t="shared" ca="1" si="9"/>
        <v>V 40</v>
      </c>
      <c r="O15" s="41" t="str">
        <f t="shared" si="4"/>
        <v>F</v>
      </c>
      <c r="P15" s="60" t="str">
        <f t="shared" si="5"/>
        <v>IND-M</v>
      </c>
      <c r="Q15" s="61"/>
      <c r="R15" t="s">
        <v>487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28">
        <v>2069</v>
      </c>
      <c r="B16" s="28">
        <v>157293</v>
      </c>
      <c r="C16" s="129" t="s">
        <v>1085</v>
      </c>
      <c r="D16" s="128" t="s">
        <v>545</v>
      </c>
      <c r="E16" s="128" t="s">
        <v>146</v>
      </c>
      <c r="F16" s="29">
        <v>40192</v>
      </c>
      <c r="G16" s="56" t="str">
        <f t="shared" ca="1" si="6"/>
        <v>Benjamim B</v>
      </c>
      <c r="H16" s="28">
        <f t="shared" ca="1" si="7"/>
        <v>11</v>
      </c>
      <c r="J16" s="38" t="str">
        <f t="shared" si="1"/>
        <v>Kylah Mcintyre</v>
      </c>
      <c r="K16" s="39">
        <f t="shared" si="2"/>
        <v>2069</v>
      </c>
      <c r="L16" s="39">
        <f t="shared" si="3"/>
        <v>157293</v>
      </c>
      <c r="M16" s="40">
        <f t="shared" si="8"/>
        <v>40192</v>
      </c>
      <c r="N16" s="41" t="str">
        <f t="shared" ca="1" si="9"/>
        <v>Benjamim B</v>
      </c>
      <c r="O16" s="41" t="str">
        <f t="shared" si="4"/>
        <v>F</v>
      </c>
      <c r="P16" s="60" t="str">
        <f t="shared" si="5"/>
        <v>CEE-M</v>
      </c>
      <c r="Q16" s="61"/>
      <c r="R16" t="s">
        <v>490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3">
      <c r="A17" s="28">
        <v>2070</v>
      </c>
      <c r="B17" s="28">
        <v>157294</v>
      </c>
      <c r="C17" s="129" t="s">
        <v>1086</v>
      </c>
      <c r="D17" s="128" t="s">
        <v>545</v>
      </c>
      <c r="E17" s="128" t="s">
        <v>146</v>
      </c>
      <c r="F17" s="29">
        <v>40807</v>
      </c>
      <c r="G17" s="56" t="str">
        <f t="shared" ca="1" si="6"/>
        <v>Benjamim B</v>
      </c>
      <c r="H17" s="28">
        <f t="shared" ca="1" si="7"/>
        <v>9</v>
      </c>
      <c r="J17" s="38" t="str">
        <f t="shared" si="1"/>
        <v>Lucia Mcintyre</v>
      </c>
      <c r="K17" s="39">
        <f t="shared" si="2"/>
        <v>2070</v>
      </c>
      <c r="L17" s="39">
        <f t="shared" si="3"/>
        <v>157294</v>
      </c>
      <c r="M17" s="40">
        <f t="shared" si="8"/>
        <v>40807</v>
      </c>
      <c r="N17" s="41" t="str">
        <f t="shared" ca="1" si="9"/>
        <v>Benjamim B</v>
      </c>
      <c r="O17" s="41" t="str">
        <f t="shared" si="4"/>
        <v>F</v>
      </c>
      <c r="P17" s="60" t="str">
        <f t="shared" si="5"/>
        <v>CEE-M</v>
      </c>
      <c r="Q17" s="61"/>
      <c r="R17" t="s">
        <v>491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3">
      <c r="A18" s="28">
        <v>1724</v>
      </c>
      <c r="B18" s="28">
        <v>141050</v>
      </c>
      <c r="C18" s="129" t="s">
        <v>537</v>
      </c>
      <c r="D18" s="128" t="s">
        <v>545</v>
      </c>
      <c r="E18" s="128" t="s">
        <v>145</v>
      </c>
      <c r="F18" s="29">
        <v>37602</v>
      </c>
      <c r="G18" s="56" t="str">
        <f t="shared" ca="1" si="6"/>
        <v>Júnior</v>
      </c>
      <c r="H18" s="28">
        <f t="shared" ca="1" si="7"/>
        <v>18</v>
      </c>
      <c r="J18" s="38" t="str">
        <f t="shared" si="1"/>
        <v>Eduardo Jardim</v>
      </c>
      <c r="K18" s="39">
        <f t="shared" si="2"/>
        <v>1724</v>
      </c>
      <c r="L18" s="39">
        <f t="shared" si="3"/>
        <v>141050</v>
      </c>
      <c r="M18" s="40">
        <f t="shared" si="8"/>
        <v>37602</v>
      </c>
      <c r="N18" s="41" t="str">
        <f t="shared" ca="1" si="9"/>
        <v>Júnior</v>
      </c>
      <c r="O18" s="41" t="str">
        <f t="shared" si="4"/>
        <v>M</v>
      </c>
      <c r="P18" s="60" t="str">
        <f t="shared" si="5"/>
        <v>CEE-M</v>
      </c>
      <c r="Q18" s="61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3">
      <c r="A19" s="28">
        <v>1175</v>
      </c>
      <c r="B19" s="28">
        <v>142514</v>
      </c>
      <c r="C19" s="129" t="s">
        <v>549</v>
      </c>
      <c r="D19" s="128" t="s">
        <v>545</v>
      </c>
      <c r="E19" s="128" t="s">
        <v>145</v>
      </c>
      <c r="F19" s="29">
        <v>29507</v>
      </c>
      <c r="G19" s="56" t="str">
        <f t="shared" ca="1" si="6"/>
        <v>V 40</v>
      </c>
      <c r="H19" s="28">
        <f t="shared" ca="1" si="7"/>
        <v>40</v>
      </c>
      <c r="J19" s="38" t="str">
        <f t="shared" si="1"/>
        <v>António Alves</v>
      </c>
      <c r="K19" s="39">
        <f t="shared" si="2"/>
        <v>1175</v>
      </c>
      <c r="L19" s="39">
        <f t="shared" si="3"/>
        <v>142514</v>
      </c>
      <c r="M19" s="40">
        <f t="shared" si="8"/>
        <v>29507</v>
      </c>
      <c r="N19" s="41" t="str">
        <f t="shared" ca="1" si="9"/>
        <v>V 40</v>
      </c>
      <c r="O19" s="41" t="str">
        <f t="shared" si="4"/>
        <v>M</v>
      </c>
      <c r="P19" s="60" t="str">
        <f t="shared" si="5"/>
        <v>CEE-M</v>
      </c>
      <c r="Q19" s="61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3">
      <c r="A20" s="28">
        <v>1174</v>
      </c>
      <c r="B20" s="28">
        <v>124823</v>
      </c>
      <c r="C20" s="129" t="s">
        <v>99</v>
      </c>
      <c r="D20" s="128" t="s">
        <v>545</v>
      </c>
      <c r="E20" s="128" t="s">
        <v>145</v>
      </c>
      <c r="F20" s="29">
        <v>28211</v>
      </c>
      <c r="G20" s="56" t="str">
        <f t="shared" ca="1" si="6"/>
        <v>V 40</v>
      </c>
      <c r="H20" s="28">
        <f t="shared" ca="1" si="7"/>
        <v>44</v>
      </c>
      <c r="J20" s="38" t="str">
        <f t="shared" si="1"/>
        <v>Augusto Fontes</v>
      </c>
      <c r="K20" s="39">
        <f t="shared" si="2"/>
        <v>1174</v>
      </c>
      <c r="L20" s="39">
        <f t="shared" si="3"/>
        <v>124823</v>
      </c>
      <c r="M20" s="40">
        <f t="shared" si="8"/>
        <v>28211</v>
      </c>
      <c r="N20" s="41" t="str">
        <f t="shared" ca="1" si="9"/>
        <v>V 40</v>
      </c>
      <c r="O20" s="41" t="str">
        <f t="shared" si="4"/>
        <v>M</v>
      </c>
      <c r="P20" s="60" t="str">
        <f t="shared" si="5"/>
        <v>CEE-M</v>
      </c>
      <c r="Q20" s="61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3">
      <c r="A21" s="28">
        <v>145</v>
      </c>
      <c r="B21" s="28">
        <v>152047</v>
      </c>
      <c r="C21" s="129" t="s">
        <v>1121</v>
      </c>
      <c r="D21" s="128" t="s">
        <v>545</v>
      </c>
      <c r="E21" s="128" t="s">
        <v>146</v>
      </c>
      <c r="F21" s="29">
        <v>26332</v>
      </c>
      <c r="G21" s="56" t="str">
        <f t="shared" ca="1" si="6"/>
        <v>V 45</v>
      </c>
      <c r="H21" s="28">
        <f t="shared" ca="1" si="7"/>
        <v>49</v>
      </c>
      <c r="J21" s="38" t="str">
        <f t="shared" si="1"/>
        <v>Ana F. Sampaio</v>
      </c>
      <c r="K21" s="39">
        <f t="shared" si="2"/>
        <v>145</v>
      </c>
      <c r="L21" s="39">
        <f t="shared" si="3"/>
        <v>152047</v>
      </c>
      <c r="M21" s="40">
        <f t="shared" si="8"/>
        <v>26332</v>
      </c>
      <c r="N21" s="41" t="str">
        <f t="shared" ca="1" si="9"/>
        <v>V 45</v>
      </c>
      <c r="O21" s="41" t="str">
        <f t="shared" si="4"/>
        <v>F</v>
      </c>
      <c r="P21" s="60" t="str">
        <f t="shared" si="5"/>
        <v>CEE-M</v>
      </c>
      <c r="Q21" s="6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3">
      <c r="A22" s="28">
        <v>146</v>
      </c>
      <c r="B22" s="28">
        <v>153779</v>
      </c>
      <c r="C22" s="129" t="s">
        <v>972</v>
      </c>
      <c r="D22" s="128" t="s">
        <v>545</v>
      </c>
      <c r="E22" s="128" t="s">
        <v>146</v>
      </c>
      <c r="F22" s="29">
        <v>25579</v>
      </c>
      <c r="G22" s="56" t="str">
        <f t="shared" ca="1" si="6"/>
        <v>V 50</v>
      </c>
      <c r="H22" s="28">
        <f t="shared" ca="1" si="7"/>
        <v>51</v>
      </c>
      <c r="J22" s="38" t="str">
        <f t="shared" si="1"/>
        <v>Nídia Pacheco</v>
      </c>
      <c r="K22" s="39">
        <f t="shared" si="2"/>
        <v>146</v>
      </c>
      <c r="L22" s="39">
        <f t="shared" si="3"/>
        <v>153779</v>
      </c>
      <c r="M22" s="40">
        <f t="shared" si="8"/>
        <v>25579</v>
      </c>
      <c r="N22" s="41" t="str">
        <f t="shared" ca="1" si="9"/>
        <v>V 50</v>
      </c>
      <c r="O22" s="41" t="str">
        <f t="shared" si="4"/>
        <v>F</v>
      </c>
      <c r="P22" s="60" t="str">
        <f t="shared" si="5"/>
        <v>CEE-M</v>
      </c>
      <c r="Q22" s="61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3">
      <c r="A23" s="28">
        <v>147</v>
      </c>
      <c r="B23" s="28">
        <v>153998</v>
      </c>
      <c r="C23" s="129" t="s">
        <v>921</v>
      </c>
      <c r="D23" s="128" t="s">
        <v>545</v>
      </c>
      <c r="E23" s="128" t="s">
        <v>146</v>
      </c>
      <c r="F23" s="29">
        <v>24612</v>
      </c>
      <c r="G23" s="56" t="str">
        <f t="shared" ca="1" si="6"/>
        <v>V 50</v>
      </c>
      <c r="H23" s="28">
        <f t="shared" ca="1" si="7"/>
        <v>53</v>
      </c>
      <c r="J23" s="38" t="str">
        <f t="shared" si="1"/>
        <v>Rosalina Freitas</v>
      </c>
      <c r="K23" s="39">
        <f t="shared" si="2"/>
        <v>147</v>
      </c>
      <c r="L23" s="39">
        <f t="shared" si="3"/>
        <v>153998</v>
      </c>
      <c r="M23" s="40">
        <f t="shared" si="8"/>
        <v>24612</v>
      </c>
      <c r="N23" s="41" t="str">
        <f t="shared" ca="1" si="9"/>
        <v>V 50</v>
      </c>
      <c r="O23" s="41" t="str">
        <f t="shared" si="4"/>
        <v>F</v>
      </c>
      <c r="P23" s="60" t="str">
        <f t="shared" si="5"/>
        <v>CEE-M</v>
      </c>
      <c r="Q23" s="61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3">
      <c r="A24" s="28">
        <v>148</v>
      </c>
      <c r="B24" s="28">
        <v>147350</v>
      </c>
      <c r="C24" s="129" t="s">
        <v>920</v>
      </c>
      <c r="D24" s="128" t="s">
        <v>545</v>
      </c>
      <c r="E24" s="128" t="s">
        <v>146</v>
      </c>
      <c r="F24" s="29">
        <v>25342</v>
      </c>
      <c r="G24" s="56" t="str">
        <f t="shared" ca="1" si="6"/>
        <v>V 50</v>
      </c>
      <c r="H24" s="28">
        <f t="shared" ca="1" si="7"/>
        <v>51</v>
      </c>
      <c r="J24" s="38" t="str">
        <f t="shared" si="1"/>
        <v>Rita Baptista</v>
      </c>
      <c r="K24" s="39">
        <f t="shared" si="2"/>
        <v>148</v>
      </c>
      <c r="L24" s="39">
        <f t="shared" si="3"/>
        <v>147350</v>
      </c>
      <c r="M24" s="40">
        <f t="shared" si="8"/>
        <v>25342</v>
      </c>
      <c r="N24" s="41" t="str">
        <f t="shared" ca="1" si="9"/>
        <v>V 50</v>
      </c>
      <c r="O24" s="41" t="str">
        <f t="shared" si="4"/>
        <v>F</v>
      </c>
      <c r="P24" s="60" t="str">
        <f t="shared" si="5"/>
        <v>CEE-M</v>
      </c>
      <c r="Q24" s="61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3">
      <c r="A25" s="28">
        <v>1173</v>
      </c>
      <c r="B25" s="28">
        <v>155215</v>
      </c>
      <c r="C25" s="129" t="s">
        <v>1122</v>
      </c>
      <c r="D25" s="128" t="s">
        <v>545</v>
      </c>
      <c r="E25" s="128" t="s">
        <v>145</v>
      </c>
      <c r="F25" s="29">
        <v>27903</v>
      </c>
      <c r="G25" s="56" t="str">
        <f t="shared" ca="1" si="6"/>
        <v>V 40</v>
      </c>
      <c r="H25" s="28">
        <f t="shared" ca="1" si="7"/>
        <v>44</v>
      </c>
      <c r="J25" s="38" t="str">
        <f t="shared" si="1"/>
        <v>Agostinho Costa</v>
      </c>
      <c r="K25" s="39">
        <f t="shared" si="2"/>
        <v>1173</v>
      </c>
      <c r="L25" s="39">
        <f t="shared" si="3"/>
        <v>155215</v>
      </c>
      <c r="M25" s="40">
        <f t="shared" si="8"/>
        <v>27903</v>
      </c>
      <c r="N25" s="41" t="str">
        <f t="shared" ca="1" si="9"/>
        <v>V 40</v>
      </c>
      <c r="O25" s="41" t="str">
        <f t="shared" si="4"/>
        <v>M</v>
      </c>
      <c r="P25" s="60" t="str">
        <f t="shared" si="5"/>
        <v>CEE-M</v>
      </c>
      <c r="Q25" s="61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3">
      <c r="A26" s="28">
        <v>1893</v>
      </c>
      <c r="B26" s="28">
        <v>147596</v>
      </c>
      <c r="C26" s="129" t="s">
        <v>922</v>
      </c>
      <c r="D26" s="128" t="s">
        <v>545</v>
      </c>
      <c r="E26" s="128" t="s">
        <v>145</v>
      </c>
      <c r="F26" s="29">
        <v>39444</v>
      </c>
      <c r="G26" s="56" t="str">
        <f t="shared" ca="1" si="6"/>
        <v>Iniciado</v>
      </c>
      <c r="H26" s="28">
        <f t="shared" ca="1" si="7"/>
        <v>13</v>
      </c>
      <c r="J26" s="38" t="str">
        <f t="shared" si="1"/>
        <v>Luís Pestana</v>
      </c>
      <c r="K26" s="39">
        <f t="shared" si="2"/>
        <v>1893</v>
      </c>
      <c r="L26" s="39">
        <f t="shared" si="3"/>
        <v>147596</v>
      </c>
      <c r="M26" s="40">
        <f t="shared" si="8"/>
        <v>39444</v>
      </c>
      <c r="N26" s="41" t="str">
        <f t="shared" ca="1" si="9"/>
        <v>Iniciado</v>
      </c>
      <c r="O26" s="41" t="str">
        <f t="shared" si="4"/>
        <v>M</v>
      </c>
      <c r="P26" s="60" t="str">
        <f t="shared" si="5"/>
        <v>CEE-M</v>
      </c>
      <c r="Q26" s="61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3">
      <c r="A27" s="28">
        <v>1172</v>
      </c>
      <c r="B27" s="28">
        <v>142942</v>
      </c>
      <c r="C27" s="129" t="s">
        <v>555</v>
      </c>
      <c r="D27" s="128" t="s">
        <v>545</v>
      </c>
      <c r="E27" s="128" t="s">
        <v>145</v>
      </c>
      <c r="F27" s="29">
        <v>28632</v>
      </c>
      <c r="G27" s="56" t="str">
        <f t="shared" ca="1" si="6"/>
        <v>V 40</v>
      </c>
      <c r="H27" s="28">
        <f t="shared" ca="1" si="7"/>
        <v>42</v>
      </c>
      <c r="J27" s="38" t="str">
        <f t="shared" si="1"/>
        <v>João Gil Pereira</v>
      </c>
      <c r="K27" s="39">
        <f t="shared" si="2"/>
        <v>1172</v>
      </c>
      <c r="L27" s="39">
        <f t="shared" si="3"/>
        <v>142942</v>
      </c>
      <c r="M27" s="40">
        <f t="shared" si="8"/>
        <v>28632</v>
      </c>
      <c r="N27" s="41" t="str">
        <f t="shared" ca="1" si="9"/>
        <v>V 40</v>
      </c>
      <c r="O27" s="41" t="str">
        <f t="shared" si="4"/>
        <v>M</v>
      </c>
      <c r="P27" s="60" t="str">
        <f t="shared" si="5"/>
        <v>CEE-M</v>
      </c>
      <c r="Q27" s="61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3">
      <c r="A28" s="28">
        <v>149</v>
      </c>
      <c r="B28" s="28">
        <v>142528</v>
      </c>
      <c r="C28" s="129" t="s">
        <v>546</v>
      </c>
      <c r="D28" s="128" t="s">
        <v>545</v>
      </c>
      <c r="E28" s="128" t="s">
        <v>146</v>
      </c>
      <c r="F28" s="29">
        <v>25284</v>
      </c>
      <c r="G28" s="56" t="str">
        <f t="shared" ca="1" si="6"/>
        <v>V 50</v>
      </c>
      <c r="H28" s="28">
        <f t="shared" ca="1" si="7"/>
        <v>52</v>
      </c>
      <c r="J28" s="38" t="str">
        <f t="shared" si="1"/>
        <v>Cristina N. Freitas</v>
      </c>
      <c r="K28" s="39">
        <f t="shared" si="2"/>
        <v>149</v>
      </c>
      <c r="L28" s="39">
        <f t="shared" si="3"/>
        <v>142528</v>
      </c>
      <c r="M28" s="40">
        <f t="shared" si="8"/>
        <v>25284</v>
      </c>
      <c r="N28" s="41" t="str">
        <f t="shared" ca="1" si="9"/>
        <v>V 50</v>
      </c>
      <c r="O28" s="41" t="str">
        <f t="shared" si="4"/>
        <v>F</v>
      </c>
      <c r="P28" s="60" t="str">
        <f t="shared" si="5"/>
        <v>CEE-M</v>
      </c>
      <c r="Q28" s="61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3">
      <c r="A29" s="28">
        <v>1182</v>
      </c>
      <c r="B29" s="28">
        <v>125552</v>
      </c>
      <c r="C29" s="129" t="s">
        <v>1293</v>
      </c>
      <c r="D29" s="128" t="s">
        <v>545</v>
      </c>
      <c r="E29" s="128" t="s">
        <v>145</v>
      </c>
      <c r="F29" s="29">
        <v>31256</v>
      </c>
      <c r="G29" s="56" t="str">
        <f t="shared" ca="1" si="6"/>
        <v>V 35</v>
      </c>
      <c r="H29" s="28">
        <f t="shared" ca="1" si="7"/>
        <v>35</v>
      </c>
      <c r="J29" s="38" t="str">
        <f t="shared" si="1"/>
        <v>João Morais</v>
      </c>
      <c r="K29" s="39">
        <f t="shared" si="2"/>
        <v>1182</v>
      </c>
      <c r="L29" s="39">
        <f t="shared" si="3"/>
        <v>125552</v>
      </c>
      <c r="M29" s="40">
        <f t="shared" si="8"/>
        <v>31256</v>
      </c>
      <c r="N29" s="41" t="str">
        <f t="shared" ca="1" si="9"/>
        <v>V 35</v>
      </c>
      <c r="O29" s="41" t="str">
        <f t="shared" si="4"/>
        <v>M</v>
      </c>
      <c r="P29" s="60" t="str">
        <f t="shared" si="5"/>
        <v>CEE-M</v>
      </c>
      <c r="Q29" s="61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3">
      <c r="A30" s="28">
        <v>1188</v>
      </c>
      <c r="B30" s="28">
        <v>125107</v>
      </c>
      <c r="C30" s="129" t="s">
        <v>106</v>
      </c>
      <c r="D30" s="128" t="s">
        <v>545</v>
      </c>
      <c r="E30" s="128" t="s">
        <v>145</v>
      </c>
      <c r="F30" s="29">
        <v>32719</v>
      </c>
      <c r="G30" s="56" t="str">
        <f t="shared" ca="1" si="6"/>
        <v>Sénior</v>
      </c>
      <c r="H30" s="28">
        <f t="shared" ca="1" si="7"/>
        <v>31</v>
      </c>
      <c r="I30" s="34"/>
      <c r="J30" s="38" t="str">
        <f t="shared" si="1"/>
        <v>Daniel Ferraz</v>
      </c>
      <c r="K30" s="39">
        <f t="shared" si="2"/>
        <v>1188</v>
      </c>
      <c r="L30" s="39">
        <f t="shared" si="3"/>
        <v>125107</v>
      </c>
      <c r="M30" s="40">
        <f t="shared" si="8"/>
        <v>32719</v>
      </c>
      <c r="N30" s="41" t="str">
        <f t="shared" ca="1" si="9"/>
        <v>Sénior</v>
      </c>
      <c r="O30" s="41" t="str">
        <f t="shared" si="4"/>
        <v>M</v>
      </c>
      <c r="P30" s="60" t="str">
        <f t="shared" si="5"/>
        <v>CEE-M</v>
      </c>
      <c r="Q30" s="61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3">
      <c r="A31" s="28">
        <v>1181</v>
      </c>
      <c r="B31" s="28">
        <v>147159</v>
      </c>
      <c r="C31" s="129" t="s">
        <v>614</v>
      </c>
      <c r="D31" s="128" t="s">
        <v>545</v>
      </c>
      <c r="E31" s="128" t="s">
        <v>145</v>
      </c>
      <c r="F31" s="29">
        <v>30534</v>
      </c>
      <c r="G31" s="56" t="str">
        <f t="shared" ca="1" si="6"/>
        <v>V 35</v>
      </c>
      <c r="H31" s="28">
        <f t="shared" ca="1" si="7"/>
        <v>37</v>
      </c>
      <c r="I31" s="34"/>
      <c r="J31" s="38" t="str">
        <f t="shared" si="1"/>
        <v>Miguel Magalhães</v>
      </c>
      <c r="K31" s="39">
        <f t="shared" si="2"/>
        <v>1181</v>
      </c>
      <c r="L31" s="39">
        <f t="shared" si="3"/>
        <v>147159</v>
      </c>
      <c r="M31" s="40">
        <f t="shared" si="8"/>
        <v>30534</v>
      </c>
      <c r="N31" s="41" t="str">
        <f t="shared" ca="1" si="9"/>
        <v>V 35</v>
      </c>
      <c r="O31" s="41" t="str">
        <f t="shared" si="4"/>
        <v>M</v>
      </c>
      <c r="P31" s="60" t="str">
        <f t="shared" si="5"/>
        <v>CEE-M</v>
      </c>
      <c r="Q31" s="6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3">
      <c r="A32" s="28">
        <v>141</v>
      </c>
      <c r="B32" s="28">
        <v>132031</v>
      </c>
      <c r="C32" s="129" t="s">
        <v>1539</v>
      </c>
      <c r="D32" s="128" t="s">
        <v>545</v>
      </c>
      <c r="E32" s="128" t="s">
        <v>146</v>
      </c>
      <c r="F32" s="29">
        <v>29022</v>
      </c>
      <c r="G32" s="56" t="str">
        <f t="shared" ca="1" si="6"/>
        <v>V 40</v>
      </c>
      <c r="H32" s="28">
        <f t="shared" ca="1" si="7"/>
        <v>41</v>
      </c>
      <c r="J32" s="38" t="str">
        <f t="shared" si="1"/>
        <v>Sandra Fontes</v>
      </c>
      <c r="K32" s="39">
        <f t="shared" si="2"/>
        <v>141</v>
      </c>
      <c r="L32" s="39">
        <f t="shared" si="3"/>
        <v>132031</v>
      </c>
      <c r="M32" s="40">
        <f t="shared" si="8"/>
        <v>29022</v>
      </c>
      <c r="N32" s="41" t="str">
        <f t="shared" ca="1" si="9"/>
        <v>V 40</v>
      </c>
      <c r="O32" s="41" t="str">
        <f t="shared" si="4"/>
        <v>F</v>
      </c>
      <c r="P32" s="60" t="str">
        <f t="shared" si="5"/>
        <v>CEE-M</v>
      </c>
      <c r="Q32" s="61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3">
      <c r="A33" s="28">
        <v>970</v>
      </c>
      <c r="B33" s="28">
        <v>162933</v>
      </c>
      <c r="C33" s="129" t="s">
        <v>1493</v>
      </c>
      <c r="D33" s="128" t="s">
        <v>148</v>
      </c>
      <c r="E33" s="128" t="s">
        <v>145</v>
      </c>
      <c r="F33" s="29">
        <v>28810</v>
      </c>
      <c r="G33" s="56" t="str">
        <f t="shared" ca="1" si="6"/>
        <v>V 40</v>
      </c>
      <c r="H33" s="28">
        <f t="shared" ca="1" si="7"/>
        <v>42</v>
      </c>
      <c r="J33" s="38" t="str">
        <f t="shared" si="1"/>
        <v>Roberto Telo</v>
      </c>
      <c r="K33" s="39">
        <f t="shared" si="2"/>
        <v>970</v>
      </c>
      <c r="L33" s="39">
        <f t="shared" si="3"/>
        <v>162933</v>
      </c>
      <c r="M33" s="40">
        <f t="shared" si="8"/>
        <v>28810</v>
      </c>
      <c r="N33" s="41" t="str">
        <f t="shared" ca="1" si="9"/>
        <v>V 40</v>
      </c>
      <c r="O33" s="41" t="str">
        <f t="shared" si="4"/>
        <v>M</v>
      </c>
      <c r="P33" s="60" t="str">
        <f t="shared" si="5"/>
        <v>IND-M</v>
      </c>
      <c r="Q33" s="61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3">
      <c r="A34" s="28">
        <v>974</v>
      </c>
      <c r="B34" s="28">
        <v>157520</v>
      </c>
      <c r="C34" s="129" t="s">
        <v>1088</v>
      </c>
      <c r="D34" s="128" t="s">
        <v>148</v>
      </c>
      <c r="E34" s="128" t="s">
        <v>145</v>
      </c>
      <c r="F34" s="29">
        <v>31861</v>
      </c>
      <c r="G34" s="56" t="str">
        <f t="shared" ca="1" si="6"/>
        <v>Sénior</v>
      </c>
      <c r="H34" s="28">
        <f t="shared" ca="1" si="7"/>
        <v>34</v>
      </c>
      <c r="J34" s="38" t="str">
        <f t="shared" si="1"/>
        <v>Fábio Sousa</v>
      </c>
      <c r="K34" s="39">
        <f t="shared" si="2"/>
        <v>974</v>
      </c>
      <c r="L34" s="39">
        <f t="shared" si="3"/>
        <v>157520</v>
      </c>
      <c r="M34" s="40">
        <f t="shared" si="8"/>
        <v>31861</v>
      </c>
      <c r="N34" s="41" t="str">
        <f t="shared" ca="1" si="9"/>
        <v>Sénior</v>
      </c>
      <c r="O34" s="41" t="str">
        <f t="shared" si="4"/>
        <v>M</v>
      </c>
      <c r="P34" s="60" t="str">
        <f t="shared" si="5"/>
        <v>IND-M</v>
      </c>
      <c r="Q34" s="61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3">
      <c r="A35" s="28">
        <v>961</v>
      </c>
      <c r="B35" s="28">
        <v>149330</v>
      </c>
      <c r="C35" s="129" t="s">
        <v>778</v>
      </c>
      <c r="D35" s="128" t="s">
        <v>148</v>
      </c>
      <c r="E35" s="128" t="s">
        <v>145</v>
      </c>
      <c r="F35" s="29">
        <v>23621</v>
      </c>
      <c r="G35" s="56" t="str">
        <f t="shared" ca="1" si="6"/>
        <v>V 55</v>
      </c>
      <c r="H35" s="28">
        <f t="shared" ca="1" si="7"/>
        <v>56</v>
      </c>
      <c r="J35" s="38" t="str">
        <f t="shared" si="1"/>
        <v>Miguel Saunders</v>
      </c>
      <c r="K35" s="39">
        <f t="shared" si="2"/>
        <v>961</v>
      </c>
      <c r="L35" s="39">
        <f t="shared" si="3"/>
        <v>149330</v>
      </c>
      <c r="M35" s="40">
        <f t="shared" si="8"/>
        <v>23621</v>
      </c>
      <c r="N35" s="41" t="str">
        <f t="shared" ca="1" si="9"/>
        <v>V 55</v>
      </c>
      <c r="O35" s="41" t="str">
        <f t="shared" si="4"/>
        <v>M</v>
      </c>
      <c r="P35" s="60" t="str">
        <f t="shared" si="5"/>
        <v>IND-M</v>
      </c>
      <c r="Q35" s="61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3">
      <c r="A36" s="28">
        <v>248</v>
      </c>
      <c r="B36" s="28">
        <v>158821</v>
      </c>
      <c r="C36" s="129" t="s">
        <v>1168</v>
      </c>
      <c r="D36" s="128" t="s">
        <v>148</v>
      </c>
      <c r="E36" s="128" t="s">
        <v>146</v>
      </c>
      <c r="F36" s="29">
        <v>23592</v>
      </c>
      <c r="G36" s="56" t="str">
        <f t="shared" ca="1" si="6"/>
        <v>V 55</v>
      </c>
      <c r="H36" s="28">
        <f t="shared" ca="1" si="7"/>
        <v>56</v>
      </c>
      <c r="J36" s="38" t="str">
        <f t="shared" si="1"/>
        <v>Maria Jorge Fraga</v>
      </c>
      <c r="K36" s="39">
        <f t="shared" si="2"/>
        <v>248</v>
      </c>
      <c r="L36" s="39">
        <f t="shared" si="3"/>
        <v>158821</v>
      </c>
      <c r="M36" s="40">
        <f t="shared" si="8"/>
        <v>23592</v>
      </c>
      <c r="N36" s="41" t="str">
        <f t="shared" ca="1" si="9"/>
        <v>V 55</v>
      </c>
      <c r="O36" s="41" t="str">
        <f t="shared" si="4"/>
        <v>F</v>
      </c>
      <c r="P36" s="60" t="str">
        <f t="shared" si="5"/>
        <v>IND-M</v>
      </c>
      <c r="Q36" s="61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3">
      <c r="A37" s="28">
        <v>246</v>
      </c>
      <c r="B37" s="28">
        <v>161960</v>
      </c>
      <c r="C37" s="129" t="s">
        <v>1490</v>
      </c>
      <c r="D37" s="128" t="s">
        <v>148</v>
      </c>
      <c r="E37" s="128" t="s">
        <v>146</v>
      </c>
      <c r="F37" s="29">
        <v>24948</v>
      </c>
      <c r="G37" s="56" t="str">
        <f t="shared" ca="1" si="6"/>
        <v>V 50</v>
      </c>
      <c r="H37" s="28">
        <f t="shared" ca="1" si="7"/>
        <v>52</v>
      </c>
      <c r="J37" s="38" t="str">
        <f t="shared" si="1"/>
        <v>Paula Henriques</v>
      </c>
      <c r="K37" s="39">
        <f t="shared" si="2"/>
        <v>246</v>
      </c>
      <c r="L37" s="39">
        <f t="shared" si="3"/>
        <v>161960</v>
      </c>
      <c r="M37" s="40">
        <f t="shared" si="8"/>
        <v>24948</v>
      </c>
      <c r="N37" s="41" t="str">
        <f t="shared" ca="1" si="9"/>
        <v>V 50</v>
      </c>
      <c r="O37" s="41" t="str">
        <f t="shared" si="4"/>
        <v>F</v>
      </c>
      <c r="P37" s="60" t="str">
        <f t="shared" si="5"/>
        <v>IND-M</v>
      </c>
      <c r="Q37" s="61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3">
      <c r="A38" s="28">
        <v>943</v>
      </c>
      <c r="B38" s="28">
        <v>128318</v>
      </c>
      <c r="C38" s="129" t="s">
        <v>295</v>
      </c>
      <c r="D38" s="128" t="s">
        <v>151</v>
      </c>
      <c r="E38" s="128" t="s">
        <v>145</v>
      </c>
      <c r="F38" s="29">
        <v>26689</v>
      </c>
      <c r="G38" s="56" t="str">
        <f t="shared" ca="1" si="6"/>
        <v>V 45</v>
      </c>
      <c r="H38" s="28">
        <f t="shared" ca="1" si="7"/>
        <v>48</v>
      </c>
      <c r="J38" s="38" t="str">
        <f t="shared" si="1"/>
        <v>Filipe Faria</v>
      </c>
      <c r="K38" s="39">
        <f t="shared" si="2"/>
        <v>943</v>
      </c>
      <c r="L38" s="39">
        <f t="shared" si="3"/>
        <v>128318</v>
      </c>
      <c r="M38" s="40">
        <f t="shared" si="8"/>
        <v>26689</v>
      </c>
      <c r="N38" s="41" t="str">
        <f t="shared" ca="1" si="9"/>
        <v>V 45</v>
      </c>
      <c r="O38" s="41" t="str">
        <f t="shared" si="4"/>
        <v>M</v>
      </c>
      <c r="P38" s="60" t="str">
        <f t="shared" si="5"/>
        <v>MCDON</v>
      </c>
      <c r="Q38" s="61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3">
      <c r="A39" s="28">
        <v>947</v>
      </c>
      <c r="B39" s="28">
        <v>134877</v>
      </c>
      <c r="C39" s="129" t="s">
        <v>400</v>
      </c>
      <c r="D39" s="128" t="s">
        <v>151</v>
      </c>
      <c r="E39" s="128" t="s">
        <v>145</v>
      </c>
      <c r="F39" s="29">
        <v>32097</v>
      </c>
      <c r="G39" s="56" t="str">
        <f t="shared" ca="1" si="6"/>
        <v>Sénior</v>
      </c>
      <c r="H39" s="28">
        <f t="shared" ca="1" si="7"/>
        <v>33</v>
      </c>
      <c r="J39" s="38" t="str">
        <f t="shared" si="1"/>
        <v>Fábio Conceição</v>
      </c>
      <c r="K39" s="39">
        <f t="shared" si="2"/>
        <v>947</v>
      </c>
      <c r="L39" s="39">
        <f t="shared" si="3"/>
        <v>134877</v>
      </c>
      <c r="M39" s="40">
        <f t="shared" si="8"/>
        <v>32097</v>
      </c>
      <c r="N39" s="41" t="str">
        <f t="shared" ca="1" si="9"/>
        <v>Sénior</v>
      </c>
      <c r="O39" s="41" t="str">
        <f t="shared" si="4"/>
        <v>M</v>
      </c>
      <c r="P39" s="60" t="str">
        <f t="shared" si="5"/>
        <v>MCDON</v>
      </c>
      <c r="Q39" s="61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3">
      <c r="A40" s="28">
        <v>941</v>
      </c>
      <c r="B40" s="28">
        <v>130228</v>
      </c>
      <c r="C40" s="129" t="s">
        <v>661</v>
      </c>
      <c r="D40" s="128" t="s">
        <v>151</v>
      </c>
      <c r="E40" s="128" t="s">
        <v>145</v>
      </c>
      <c r="F40" s="29">
        <v>23359</v>
      </c>
      <c r="G40" s="56" t="str">
        <f t="shared" ca="1" si="6"/>
        <v>V 55</v>
      </c>
      <c r="H40" s="28">
        <f t="shared" ca="1" si="7"/>
        <v>57</v>
      </c>
      <c r="J40" s="38" t="str">
        <f t="shared" si="1"/>
        <v>Paulo Nuno Gomes</v>
      </c>
      <c r="K40" s="39">
        <f t="shared" si="2"/>
        <v>941</v>
      </c>
      <c r="L40" s="39">
        <f t="shared" si="3"/>
        <v>130228</v>
      </c>
      <c r="M40" s="40">
        <f t="shared" si="8"/>
        <v>23359</v>
      </c>
      <c r="N40" s="41" t="str">
        <f t="shared" ca="1" si="9"/>
        <v>V 55</v>
      </c>
      <c r="O40" s="41" t="str">
        <f t="shared" si="4"/>
        <v>M</v>
      </c>
      <c r="P40" s="60" t="str">
        <f t="shared" si="5"/>
        <v>MCDON</v>
      </c>
      <c r="Q40" s="61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3">
      <c r="A41" s="28">
        <v>939</v>
      </c>
      <c r="B41" s="28">
        <v>128415</v>
      </c>
      <c r="C41" s="129" t="s">
        <v>296</v>
      </c>
      <c r="D41" s="128" t="s">
        <v>151</v>
      </c>
      <c r="E41" s="128" t="s">
        <v>145</v>
      </c>
      <c r="F41" s="29">
        <v>20860</v>
      </c>
      <c r="G41" s="56" t="str">
        <f t="shared" ca="1" si="6"/>
        <v>V 60</v>
      </c>
      <c r="H41" s="28">
        <f t="shared" ca="1" si="7"/>
        <v>64</v>
      </c>
      <c r="J41" s="38" t="str">
        <f t="shared" si="1"/>
        <v>Francisco Viegas</v>
      </c>
      <c r="K41" s="39">
        <f t="shared" si="2"/>
        <v>939</v>
      </c>
      <c r="L41" s="39">
        <f t="shared" si="3"/>
        <v>128415</v>
      </c>
      <c r="M41" s="40">
        <f t="shared" si="8"/>
        <v>20860</v>
      </c>
      <c r="N41" s="41" t="str">
        <f t="shared" ca="1" si="9"/>
        <v>V 60</v>
      </c>
      <c r="O41" s="41" t="str">
        <f t="shared" si="4"/>
        <v>M</v>
      </c>
      <c r="P41" s="60" t="str">
        <f t="shared" si="5"/>
        <v>MCDON</v>
      </c>
      <c r="Q41" s="6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3">
      <c r="A42" s="28">
        <v>1709</v>
      </c>
      <c r="B42" s="28">
        <v>141936</v>
      </c>
      <c r="C42" s="129" t="s">
        <v>525</v>
      </c>
      <c r="D42" s="128" t="s">
        <v>151</v>
      </c>
      <c r="E42" s="128" t="s">
        <v>145</v>
      </c>
      <c r="F42" s="29">
        <v>38598</v>
      </c>
      <c r="G42" s="56" t="str">
        <f t="shared" ca="1" si="6"/>
        <v>Juvenil</v>
      </c>
      <c r="H42" s="28">
        <f t="shared" ca="1" si="7"/>
        <v>15</v>
      </c>
      <c r="J42" s="38" t="str">
        <f t="shared" si="1"/>
        <v>Santiago Faria</v>
      </c>
      <c r="K42" s="39">
        <f t="shared" si="2"/>
        <v>1709</v>
      </c>
      <c r="L42" s="39">
        <f t="shared" si="3"/>
        <v>141936</v>
      </c>
      <c r="M42" s="40">
        <f t="shared" si="8"/>
        <v>38598</v>
      </c>
      <c r="N42" s="41" t="str">
        <f t="shared" ca="1" si="9"/>
        <v>Juvenil</v>
      </c>
      <c r="O42" s="41" t="str">
        <f t="shared" si="4"/>
        <v>M</v>
      </c>
      <c r="P42" s="60" t="str">
        <f t="shared" si="5"/>
        <v>MCDON</v>
      </c>
      <c r="Q42" s="61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3">
      <c r="A43" s="28">
        <v>940</v>
      </c>
      <c r="B43" s="28">
        <v>128352</v>
      </c>
      <c r="C43" s="129" t="s">
        <v>299</v>
      </c>
      <c r="D43" s="128" t="s">
        <v>151</v>
      </c>
      <c r="E43" s="128" t="s">
        <v>145</v>
      </c>
      <c r="F43" s="29">
        <v>23482</v>
      </c>
      <c r="G43" s="56" t="str">
        <f t="shared" ca="1" si="6"/>
        <v>V 55</v>
      </c>
      <c r="H43" s="28">
        <f t="shared" ca="1" si="7"/>
        <v>57</v>
      </c>
      <c r="J43" s="38" t="str">
        <f t="shared" si="1"/>
        <v>Luís Vasconcelos</v>
      </c>
      <c r="K43" s="39">
        <f t="shared" si="2"/>
        <v>940</v>
      </c>
      <c r="L43" s="39">
        <f t="shared" si="3"/>
        <v>128352</v>
      </c>
      <c r="M43" s="40">
        <f t="shared" si="8"/>
        <v>23482</v>
      </c>
      <c r="N43" s="41" t="str">
        <f t="shared" ca="1" si="9"/>
        <v>V 55</v>
      </c>
      <c r="O43" s="41" t="str">
        <f t="shared" si="4"/>
        <v>M</v>
      </c>
      <c r="P43" s="60" t="str">
        <f t="shared" si="5"/>
        <v>MCDON</v>
      </c>
      <c r="Q43" s="61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3">
      <c r="A44" s="28">
        <v>945</v>
      </c>
      <c r="B44" s="28">
        <v>128417</v>
      </c>
      <c r="C44" s="129" t="s">
        <v>294</v>
      </c>
      <c r="D44" s="128" t="s">
        <v>151</v>
      </c>
      <c r="E44" s="128" t="s">
        <v>145</v>
      </c>
      <c r="F44" s="29">
        <v>29048</v>
      </c>
      <c r="G44" s="56" t="str">
        <f t="shared" ca="1" si="6"/>
        <v>V 40</v>
      </c>
      <c r="H44" s="28">
        <f t="shared" ca="1" si="7"/>
        <v>41</v>
      </c>
      <c r="J44" s="38" t="str">
        <f t="shared" si="1"/>
        <v>Carlos Oliveira</v>
      </c>
      <c r="K44" s="39">
        <f t="shared" si="2"/>
        <v>945</v>
      </c>
      <c r="L44" s="39">
        <f t="shared" si="3"/>
        <v>128417</v>
      </c>
      <c r="M44" s="40">
        <f t="shared" si="8"/>
        <v>29048</v>
      </c>
      <c r="N44" s="41" t="str">
        <f t="shared" ca="1" si="9"/>
        <v>V 40</v>
      </c>
      <c r="O44" s="41" t="str">
        <f t="shared" si="4"/>
        <v>M</v>
      </c>
      <c r="P44" s="60" t="str">
        <f t="shared" si="5"/>
        <v>MCDON</v>
      </c>
      <c r="Q44" s="61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3">
      <c r="A45" s="28">
        <v>938</v>
      </c>
      <c r="B45" s="28">
        <v>128380</v>
      </c>
      <c r="C45" s="129" t="s">
        <v>302</v>
      </c>
      <c r="D45" s="128" t="s">
        <v>151</v>
      </c>
      <c r="E45" s="128" t="s">
        <v>145</v>
      </c>
      <c r="F45" s="29">
        <v>21807</v>
      </c>
      <c r="G45" s="56" t="str">
        <f t="shared" ca="1" si="6"/>
        <v>V 60</v>
      </c>
      <c r="H45" s="28">
        <f t="shared" ca="1" si="7"/>
        <v>61</v>
      </c>
      <c r="J45" s="38" t="str">
        <f t="shared" si="1"/>
        <v>Rogério Nunes</v>
      </c>
      <c r="K45" s="39">
        <f t="shared" si="2"/>
        <v>938</v>
      </c>
      <c r="L45" s="39">
        <f t="shared" si="3"/>
        <v>128380</v>
      </c>
      <c r="M45" s="40">
        <f t="shared" si="8"/>
        <v>21807</v>
      </c>
      <c r="N45" s="41" t="str">
        <f t="shared" ca="1" si="9"/>
        <v>V 60</v>
      </c>
      <c r="O45" s="41" t="str">
        <f t="shared" si="4"/>
        <v>M</v>
      </c>
      <c r="P45" s="60" t="str">
        <f t="shared" si="5"/>
        <v>MCDON</v>
      </c>
      <c r="Q45" s="61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3">
      <c r="A46" s="28">
        <v>946</v>
      </c>
      <c r="B46" s="28">
        <v>128342</v>
      </c>
      <c r="C46" s="129" t="s">
        <v>300</v>
      </c>
      <c r="D46" s="128" t="s">
        <v>151</v>
      </c>
      <c r="E46" s="128" t="s">
        <v>145</v>
      </c>
      <c r="F46" s="29">
        <v>29924</v>
      </c>
      <c r="G46" s="56" t="str">
        <f t="shared" ca="1" si="6"/>
        <v>V 35</v>
      </c>
      <c r="H46" s="28">
        <f t="shared" ca="1" si="7"/>
        <v>39</v>
      </c>
      <c r="J46" s="38" t="str">
        <f t="shared" si="1"/>
        <v>Maurício Santos</v>
      </c>
      <c r="K46" s="39">
        <f t="shared" si="2"/>
        <v>946</v>
      </c>
      <c r="L46" s="39">
        <f t="shared" si="3"/>
        <v>128342</v>
      </c>
      <c r="M46" s="40">
        <f t="shared" si="8"/>
        <v>29924</v>
      </c>
      <c r="N46" s="41" t="str">
        <f t="shared" ca="1" si="9"/>
        <v>V 35</v>
      </c>
      <c r="O46" s="41" t="str">
        <f t="shared" si="4"/>
        <v>M</v>
      </c>
      <c r="P46" s="60" t="str">
        <f t="shared" si="5"/>
        <v>MCDON</v>
      </c>
      <c r="Q46" s="61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3">
      <c r="A47" s="28">
        <v>944</v>
      </c>
      <c r="B47" s="28">
        <v>128605</v>
      </c>
      <c r="C47" s="129" t="s">
        <v>298</v>
      </c>
      <c r="D47" s="128" t="s">
        <v>151</v>
      </c>
      <c r="E47" s="128" t="s">
        <v>145</v>
      </c>
      <c r="F47" s="29">
        <v>28500</v>
      </c>
      <c r="G47" s="56" t="str">
        <f t="shared" ca="1" si="6"/>
        <v>V 40</v>
      </c>
      <c r="H47" s="28">
        <f t="shared" ca="1" si="7"/>
        <v>43</v>
      </c>
      <c r="J47" s="38" t="str">
        <f t="shared" si="1"/>
        <v>Juan Gonçalves</v>
      </c>
      <c r="K47" s="39">
        <f t="shared" si="2"/>
        <v>944</v>
      </c>
      <c r="L47" s="39">
        <f t="shared" si="3"/>
        <v>128605</v>
      </c>
      <c r="M47" s="40">
        <f t="shared" si="8"/>
        <v>28500</v>
      </c>
      <c r="N47" s="41" t="str">
        <f t="shared" ca="1" si="9"/>
        <v>V 40</v>
      </c>
      <c r="O47" s="41" t="str">
        <f t="shared" si="4"/>
        <v>M</v>
      </c>
      <c r="P47" s="60" t="str">
        <f t="shared" si="5"/>
        <v>MCDON</v>
      </c>
      <c r="Q47" s="61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3">
      <c r="A48" s="28">
        <v>942</v>
      </c>
      <c r="B48" s="28">
        <v>130432</v>
      </c>
      <c r="C48" s="129" t="s">
        <v>228</v>
      </c>
      <c r="D48" s="128" t="s">
        <v>151</v>
      </c>
      <c r="E48" s="128" t="s">
        <v>145</v>
      </c>
      <c r="F48" s="29">
        <v>25310</v>
      </c>
      <c r="G48" s="56" t="str">
        <f t="shared" ca="1" si="6"/>
        <v>V 50</v>
      </c>
      <c r="H48" s="28">
        <f t="shared" ca="1" si="7"/>
        <v>52</v>
      </c>
      <c r="J48" s="38" t="str">
        <f t="shared" si="1"/>
        <v>Marcelo Vieira</v>
      </c>
      <c r="K48" s="39">
        <f t="shared" si="2"/>
        <v>942</v>
      </c>
      <c r="L48" s="39">
        <f t="shared" si="3"/>
        <v>130432</v>
      </c>
      <c r="M48" s="40">
        <f t="shared" si="8"/>
        <v>25310</v>
      </c>
      <c r="N48" s="41" t="str">
        <f t="shared" ca="1" si="9"/>
        <v>V 50</v>
      </c>
      <c r="O48" s="41" t="str">
        <f t="shared" si="4"/>
        <v>M</v>
      </c>
      <c r="P48" s="60" t="str">
        <f t="shared" si="5"/>
        <v>MCDON</v>
      </c>
      <c r="Q48" s="61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3">
      <c r="A49" s="28">
        <v>937</v>
      </c>
      <c r="B49" s="28">
        <v>129107</v>
      </c>
      <c r="C49" s="129" t="s">
        <v>297</v>
      </c>
      <c r="D49" s="128" t="s">
        <v>151</v>
      </c>
      <c r="E49" s="128" t="s">
        <v>145</v>
      </c>
      <c r="F49" s="29">
        <v>21058</v>
      </c>
      <c r="G49" s="56" t="str">
        <f t="shared" ca="1" si="6"/>
        <v>V 60</v>
      </c>
      <c r="H49" s="28">
        <f t="shared" ca="1" si="7"/>
        <v>63</v>
      </c>
      <c r="J49" s="38" t="str">
        <f t="shared" si="1"/>
        <v>João Luís Fernandes</v>
      </c>
      <c r="K49" s="39">
        <f t="shared" si="2"/>
        <v>937</v>
      </c>
      <c r="L49" s="39">
        <f t="shared" si="3"/>
        <v>129107</v>
      </c>
      <c r="M49" s="40">
        <f t="shared" si="8"/>
        <v>21058</v>
      </c>
      <c r="N49" s="41" t="str">
        <f t="shared" ca="1" si="9"/>
        <v>V 60</v>
      </c>
      <c r="O49" s="41" t="str">
        <f t="shared" si="4"/>
        <v>M</v>
      </c>
      <c r="P49" s="60" t="str">
        <f t="shared" si="5"/>
        <v>MCDON</v>
      </c>
      <c r="Q49" s="61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3">
      <c r="A50" s="28">
        <v>243</v>
      </c>
      <c r="B50" s="28">
        <v>162834</v>
      </c>
      <c r="C50" s="129" t="s">
        <v>1491</v>
      </c>
      <c r="D50" s="128" t="s">
        <v>148</v>
      </c>
      <c r="E50" s="128" t="s">
        <v>146</v>
      </c>
      <c r="F50" s="29">
        <v>28384</v>
      </c>
      <c r="G50" s="56" t="str">
        <f t="shared" ca="1" si="6"/>
        <v>V 40</v>
      </c>
      <c r="H50" s="28">
        <f t="shared" ca="1" si="7"/>
        <v>43</v>
      </c>
      <c r="J50" s="38" t="str">
        <f t="shared" si="1"/>
        <v>Patrícia Franco</v>
      </c>
      <c r="K50" s="39">
        <f t="shared" si="2"/>
        <v>243</v>
      </c>
      <c r="L50" s="39">
        <f t="shared" si="3"/>
        <v>162834</v>
      </c>
      <c r="M50" s="40">
        <f t="shared" si="8"/>
        <v>28384</v>
      </c>
      <c r="N50" s="41" t="str">
        <f t="shared" ca="1" si="9"/>
        <v>V 40</v>
      </c>
      <c r="O50" s="41" t="str">
        <f t="shared" si="4"/>
        <v>F</v>
      </c>
      <c r="P50" s="60" t="str">
        <f t="shared" si="5"/>
        <v>IND-M</v>
      </c>
      <c r="Q50" s="61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3">
      <c r="A51" s="28">
        <v>1171</v>
      </c>
      <c r="B51" s="28">
        <v>131691</v>
      </c>
      <c r="C51" s="129" t="s">
        <v>140</v>
      </c>
      <c r="D51" s="128" t="s">
        <v>545</v>
      </c>
      <c r="E51" s="128" t="s">
        <v>145</v>
      </c>
      <c r="F51" s="29">
        <v>29100</v>
      </c>
      <c r="G51" s="56" t="str">
        <f t="shared" ca="1" si="6"/>
        <v>V 40</v>
      </c>
      <c r="H51" s="28">
        <f t="shared" ca="1" si="7"/>
        <v>41</v>
      </c>
      <c r="J51" s="38" t="str">
        <f t="shared" si="1"/>
        <v>Óscar Correia</v>
      </c>
      <c r="K51" s="39">
        <f t="shared" si="2"/>
        <v>1171</v>
      </c>
      <c r="L51" s="39">
        <f t="shared" si="3"/>
        <v>131691</v>
      </c>
      <c r="M51" s="40">
        <f t="shared" si="8"/>
        <v>29100</v>
      </c>
      <c r="N51" s="41" t="str">
        <f t="shared" ca="1" si="9"/>
        <v>V 40</v>
      </c>
      <c r="O51" s="41" t="str">
        <f t="shared" si="4"/>
        <v>M</v>
      </c>
      <c r="P51" s="60" t="str">
        <f t="shared" si="5"/>
        <v>CEE-M</v>
      </c>
      <c r="Q51" s="6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3">
      <c r="A52" s="28">
        <v>150</v>
      </c>
      <c r="B52" s="28">
        <v>147259</v>
      </c>
      <c r="C52" s="129" t="s">
        <v>1540</v>
      </c>
      <c r="D52" s="128" t="s">
        <v>545</v>
      </c>
      <c r="E52" s="128" t="s">
        <v>146</v>
      </c>
      <c r="F52" s="29">
        <v>23172</v>
      </c>
      <c r="G52" s="56" t="str">
        <f t="shared" ca="1" si="6"/>
        <v>V 55</v>
      </c>
      <c r="H52" s="28">
        <f t="shared" ca="1" si="7"/>
        <v>57</v>
      </c>
      <c r="J52" s="38" t="str">
        <f t="shared" si="1"/>
        <v>Graça Agrela</v>
      </c>
      <c r="K52" s="39">
        <f t="shared" si="2"/>
        <v>150</v>
      </c>
      <c r="L52" s="39">
        <f t="shared" si="3"/>
        <v>147259</v>
      </c>
      <c r="M52" s="40">
        <f t="shared" si="8"/>
        <v>23172</v>
      </c>
      <c r="N52" s="41" t="str">
        <f t="shared" ca="1" si="9"/>
        <v>V 55</v>
      </c>
      <c r="O52" s="41" t="str">
        <f t="shared" si="4"/>
        <v>F</v>
      </c>
      <c r="P52" s="60" t="str">
        <f t="shared" si="5"/>
        <v>CEE-M</v>
      </c>
      <c r="Q52" s="61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3">
      <c r="A53" s="28">
        <v>1180</v>
      </c>
      <c r="B53" s="28">
        <v>124670</v>
      </c>
      <c r="C53" s="129" t="s">
        <v>964</v>
      </c>
      <c r="D53" s="128" t="s">
        <v>545</v>
      </c>
      <c r="E53" s="128" t="s">
        <v>145</v>
      </c>
      <c r="F53" s="29">
        <v>30985</v>
      </c>
      <c r="G53" s="56" t="str">
        <f t="shared" ca="1" si="6"/>
        <v>V 35</v>
      </c>
      <c r="H53" s="28">
        <f t="shared" ca="1" si="7"/>
        <v>36</v>
      </c>
      <c r="J53" s="38" t="str">
        <f t="shared" si="1"/>
        <v>Daniel Ferreira</v>
      </c>
      <c r="K53" s="39">
        <f t="shared" si="2"/>
        <v>1180</v>
      </c>
      <c r="L53" s="39">
        <f t="shared" si="3"/>
        <v>124670</v>
      </c>
      <c r="M53" s="40">
        <f t="shared" si="8"/>
        <v>30985</v>
      </c>
      <c r="N53" s="41" t="str">
        <f t="shared" ca="1" si="9"/>
        <v>V 35</v>
      </c>
      <c r="O53" s="41" t="str">
        <f t="shared" si="4"/>
        <v>M</v>
      </c>
      <c r="P53" s="60" t="str">
        <f t="shared" si="5"/>
        <v>CEE-M</v>
      </c>
      <c r="Q53" s="61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3">
      <c r="A54" s="28">
        <v>1165</v>
      </c>
      <c r="B54" s="28">
        <v>142673</v>
      </c>
      <c r="C54" s="129" t="s">
        <v>613</v>
      </c>
      <c r="D54" s="128" t="s">
        <v>545</v>
      </c>
      <c r="E54" s="128" t="s">
        <v>145</v>
      </c>
      <c r="F54" s="29">
        <v>25726</v>
      </c>
      <c r="G54" s="56" t="str">
        <f t="shared" ca="1" si="6"/>
        <v>V 50</v>
      </c>
      <c r="H54" s="28">
        <f t="shared" ca="1" si="7"/>
        <v>50</v>
      </c>
      <c r="J54" s="38" t="str">
        <f t="shared" si="1"/>
        <v>Nuno Branco</v>
      </c>
      <c r="K54" s="39">
        <f t="shared" si="2"/>
        <v>1165</v>
      </c>
      <c r="L54" s="39">
        <f t="shared" si="3"/>
        <v>142673</v>
      </c>
      <c r="M54" s="40">
        <f t="shared" si="8"/>
        <v>25726</v>
      </c>
      <c r="N54" s="41" t="str">
        <f t="shared" ca="1" si="9"/>
        <v>V 50</v>
      </c>
      <c r="O54" s="41" t="str">
        <f t="shared" si="4"/>
        <v>M</v>
      </c>
      <c r="P54" s="60" t="str">
        <f t="shared" si="5"/>
        <v>CEE-M</v>
      </c>
      <c r="Q54" s="61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3">
      <c r="A55" s="28">
        <v>139</v>
      </c>
      <c r="B55" s="28">
        <v>163057</v>
      </c>
      <c r="C55" s="129" t="s">
        <v>1541</v>
      </c>
      <c r="D55" s="128" t="s">
        <v>545</v>
      </c>
      <c r="E55" s="128" t="s">
        <v>146</v>
      </c>
      <c r="F55" s="29">
        <v>30681</v>
      </c>
      <c r="G55" s="56" t="str">
        <f t="shared" ca="1" si="6"/>
        <v>V 35</v>
      </c>
      <c r="H55" s="28">
        <f t="shared" ca="1" si="7"/>
        <v>37</v>
      </c>
      <c r="J55" s="38" t="str">
        <f t="shared" si="1"/>
        <v>Susete Faria</v>
      </c>
      <c r="K55" s="39">
        <f t="shared" si="2"/>
        <v>139</v>
      </c>
      <c r="L55" s="39">
        <f t="shared" si="3"/>
        <v>163057</v>
      </c>
      <c r="M55" s="40">
        <f t="shared" si="8"/>
        <v>30681</v>
      </c>
      <c r="N55" s="41" t="str">
        <f t="shared" ca="1" si="9"/>
        <v>V 35</v>
      </c>
      <c r="O55" s="41" t="str">
        <f t="shared" si="4"/>
        <v>F</v>
      </c>
      <c r="P55" s="60" t="str">
        <f t="shared" si="5"/>
        <v>CEE-M</v>
      </c>
      <c r="Q55" s="61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3">
      <c r="A56" s="28">
        <v>142</v>
      </c>
      <c r="B56" s="28">
        <v>155373</v>
      </c>
      <c r="C56" s="129" t="s">
        <v>1020</v>
      </c>
      <c r="D56" s="128" t="s">
        <v>545</v>
      </c>
      <c r="E56" s="128" t="s">
        <v>146</v>
      </c>
      <c r="F56" s="29">
        <v>29098</v>
      </c>
      <c r="G56" s="56" t="str">
        <f t="shared" ca="1" si="6"/>
        <v>V 40</v>
      </c>
      <c r="H56" s="28">
        <f t="shared" ca="1" si="7"/>
        <v>41</v>
      </c>
      <c r="J56" s="38" t="str">
        <f t="shared" si="1"/>
        <v>Marlene Correia</v>
      </c>
      <c r="K56" s="39">
        <f t="shared" si="2"/>
        <v>142</v>
      </c>
      <c r="L56" s="39">
        <f t="shared" si="3"/>
        <v>155373</v>
      </c>
      <c r="M56" s="40">
        <f t="shared" si="8"/>
        <v>29098</v>
      </c>
      <c r="N56" s="41" t="str">
        <f t="shared" ca="1" si="9"/>
        <v>V 40</v>
      </c>
      <c r="O56" s="41" t="str">
        <f t="shared" si="4"/>
        <v>F</v>
      </c>
      <c r="P56" s="60" t="str">
        <f t="shared" si="5"/>
        <v>CEE-M</v>
      </c>
      <c r="Q56" s="61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3">
      <c r="A57" s="28">
        <v>1170</v>
      </c>
      <c r="B57" s="28">
        <v>155310</v>
      </c>
      <c r="C57" s="129" t="s">
        <v>1010</v>
      </c>
      <c r="D57" s="128" t="s">
        <v>545</v>
      </c>
      <c r="E57" s="128" t="s">
        <v>145</v>
      </c>
      <c r="F57" s="29">
        <v>28316</v>
      </c>
      <c r="G57" s="56" t="str">
        <f t="shared" ca="1" si="6"/>
        <v>V 40</v>
      </c>
      <c r="H57" s="28">
        <f t="shared" ca="1" si="7"/>
        <v>43</v>
      </c>
      <c r="I57" s="34"/>
      <c r="J57" s="38" t="str">
        <f t="shared" si="1"/>
        <v>Paulo Aguiar</v>
      </c>
      <c r="K57" s="39">
        <f t="shared" si="2"/>
        <v>1170</v>
      </c>
      <c r="L57" s="39">
        <f t="shared" si="3"/>
        <v>155310</v>
      </c>
      <c r="M57" s="40">
        <f t="shared" si="8"/>
        <v>28316</v>
      </c>
      <c r="N57" s="41" t="str">
        <f t="shared" ca="1" si="9"/>
        <v>V 40</v>
      </c>
      <c r="O57" s="41" t="str">
        <f t="shared" si="4"/>
        <v>M</v>
      </c>
      <c r="P57" s="60" t="str">
        <f t="shared" si="5"/>
        <v>CEE-M</v>
      </c>
      <c r="Q57" s="61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3">
      <c r="A58" s="28">
        <v>1187</v>
      </c>
      <c r="B58" s="28">
        <v>136255</v>
      </c>
      <c r="C58" s="129" t="s">
        <v>427</v>
      </c>
      <c r="D58" s="128" t="s">
        <v>545</v>
      </c>
      <c r="E58" s="128" t="s">
        <v>145</v>
      </c>
      <c r="F58" s="29">
        <v>33210</v>
      </c>
      <c r="G58" s="56" t="str">
        <f t="shared" ca="1" si="6"/>
        <v>Sénior</v>
      </c>
      <c r="H58" s="28">
        <f t="shared" ca="1" si="7"/>
        <v>30</v>
      </c>
      <c r="J58" s="38" t="str">
        <f t="shared" si="1"/>
        <v>Ricardo Quintal</v>
      </c>
      <c r="K58" s="39">
        <f t="shared" si="2"/>
        <v>1187</v>
      </c>
      <c r="L58" s="39">
        <f t="shared" si="3"/>
        <v>136255</v>
      </c>
      <c r="M58" s="40">
        <f t="shared" si="8"/>
        <v>33210</v>
      </c>
      <c r="N58" s="41" t="str">
        <f t="shared" ca="1" si="9"/>
        <v>Sénior</v>
      </c>
      <c r="O58" s="41" t="str">
        <f t="shared" si="4"/>
        <v>M</v>
      </c>
      <c r="P58" s="60" t="str">
        <f t="shared" si="5"/>
        <v>CEE-M</v>
      </c>
      <c r="Q58" s="61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3">
      <c r="A59" s="28">
        <v>140</v>
      </c>
      <c r="B59" s="28">
        <v>163036</v>
      </c>
      <c r="C59" s="129" t="s">
        <v>1542</v>
      </c>
      <c r="D59" s="128" t="s">
        <v>545</v>
      </c>
      <c r="E59" s="128" t="s">
        <v>146</v>
      </c>
      <c r="F59" s="29">
        <v>29626</v>
      </c>
      <c r="G59" s="56" t="str">
        <f t="shared" ca="1" si="6"/>
        <v>V 40</v>
      </c>
      <c r="H59" s="28">
        <f t="shared" ca="1" si="7"/>
        <v>40</v>
      </c>
      <c r="J59" s="38" t="str">
        <f t="shared" si="1"/>
        <v>Lucilina Aguiar</v>
      </c>
      <c r="K59" s="39">
        <f t="shared" si="2"/>
        <v>140</v>
      </c>
      <c r="L59" s="39">
        <f t="shared" si="3"/>
        <v>163036</v>
      </c>
      <c r="M59" s="40">
        <f t="shared" si="8"/>
        <v>29626</v>
      </c>
      <c r="N59" s="41" t="str">
        <f t="shared" ca="1" si="9"/>
        <v>V 40</v>
      </c>
      <c r="O59" s="41" t="str">
        <f t="shared" si="4"/>
        <v>F</v>
      </c>
      <c r="P59" s="60" t="str">
        <f t="shared" si="5"/>
        <v>CEE-M</v>
      </c>
      <c r="Q59" s="61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3">
      <c r="A60" s="28">
        <v>892</v>
      </c>
      <c r="B60" s="28">
        <v>129963</v>
      </c>
      <c r="C60" s="129" t="s">
        <v>658</v>
      </c>
      <c r="D60" s="128" t="s">
        <v>671</v>
      </c>
      <c r="E60" s="128" t="s">
        <v>145</v>
      </c>
      <c r="F60" s="29">
        <v>24939</v>
      </c>
      <c r="G60" s="56" t="str">
        <f t="shared" ca="1" si="6"/>
        <v>V 50</v>
      </c>
      <c r="H60" s="28">
        <f t="shared" ca="1" si="7"/>
        <v>53</v>
      </c>
      <c r="J60" s="38" t="str">
        <f t="shared" si="1"/>
        <v>Nélio Faria</v>
      </c>
      <c r="K60" s="39">
        <f t="shared" si="2"/>
        <v>892</v>
      </c>
      <c r="L60" s="39">
        <f t="shared" si="3"/>
        <v>129963</v>
      </c>
      <c r="M60" s="40">
        <f t="shared" si="8"/>
        <v>24939</v>
      </c>
      <c r="N60" s="41" t="str">
        <f t="shared" ca="1" si="9"/>
        <v>V 50</v>
      </c>
      <c r="O60" s="41" t="str">
        <f t="shared" si="4"/>
        <v>M</v>
      </c>
      <c r="P60" s="60" t="str">
        <f t="shared" si="5"/>
        <v>VIP-RC</v>
      </c>
      <c r="Q60" s="61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3">
      <c r="A61" s="28">
        <v>904</v>
      </c>
      <c r="B61" s="28">
        <v>136735</v>
      </c>
      <c r="C61" s="129" t="s">
        <v>495</v>
      </c>
      <c r="D61" s="128" t="s">
        <v>671</v>
      </c>
      <c r="E61" s="128" t="s">
        <v>145</v>
      </c>
      <c r="F61" s="29">
        <v>30120</v>
      </c>
      <c r="G61" s="56" t="str">
        <f t="shared" ca="1" si="6"/>
        <v>V 35</v>
      </c>
      <c r="H61" s="28">
        <f t="shared" ca="1" si="7"/>
        <v>38</v>
      </c>
      <c r="J61" s="38" t="str">
        <f t="shared" si="1"/>
        <v>Luís T. Coelho</v>
      </c>
      <c r="K61" s="39">
        <f t="shared" si="2"/>
        <v>904</v>
      </c>
      <c r="L61" s="39">
        <f t="shared" si="3"/>
        <v>136735</v>
      </c>
      <c r="M61" s="40">
        <f t="shared" si="8"/>
        <v>30120</v>
      </c>
      <c r="N61" s="41" t="str">
        <f t="shared" ca="1" si="9"/>
        <v>V 35</v>
      </c>
      <c r="O61" s="41" t="str">
        <f t="shared" si="4"/>
        <v>M</v>
      </c>
      <c r="P61" s="60" t="str">
        <f t="shared" si="5"/>
        <v>VIP-RC</v>
      </c>
      <c r="Q61" s="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3">
      <c r="A62" s="28">
        <v>884</v>
      </c>
      <c r="B62" s="28">
        <v>129756</v>
      </c>
      <c r="C62" s="129" t="s">
        <v>664</v>
      </c>
      <c r="D62" s="128" t="s">
        <v>671</v>
      </c>
      <c r="E62" s="128" t="s">
        <v>145</v>
      </c>
      <c r="F62" s="29">
        <v>23932</v>
      </c>
      <c r="G62" s="56" t="str">
        <f t="shared" ca="1" si="6"/>
        <v>V 55</v>
      </c>
      <c r="H62" s="28">
        <f t="shared" ca="1" si="7"/>
        <v>55</v>
      </c>
      <c r="J62" s="38" t="str">
        <f t="shared" si="1"/>
        <v>Rui Alberto Silva</v>
      </c>
      <c r="K62" s="39">
        <f t="shared" si="2"/>
        <v>884</v>
      </c>
      <c r="L62" s="39">
        <f t="shared" si="3"/>
        <v>129756</v>
      </c>
      <c r="M62" s="40">
        <f t="shared" si="8"/>
        <v>23932</v>
      </c>
      <c r="N62" s="41" t="str">
        <f t="shared" ca="1" si="9"/>
        <v>V 55</v>
      </c>
      <c r="O62" s="41" t="str">
        <f t="shared" si="4"/>
        <v>M</v>
      </c>
      <c r="P62" s="60" t="str">
        <f t="shared" si="5"/>
        <v>VIP-RC</v>
      </c>
      <c r="Q62" s="61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3">
      <c r="A63" s="28">
        <v>1539</v>
      </c>
      <c r="B63" s="28">
        <v>158714</v>
      </c>
      <c r="C63" s="129" t="s">
        <v>1116</v>
      </c>
      <c r="D63" s="128" t="s">
        <v>796</v>
      </c>
      <c r="E63" s="128" t="s">
        <v>145</v>
      </c>
      <c r="F63" s="29">
        <v>24804</v>
      </c>
      <c r="G63" s="56" t="str">
        <f t="shared" ca="1" si="6"/>
        <v>V 50</v>
      </c>
      <c r="H63" s="28">
        <f t="shared" ca="1" si="7"/>
        <v>53</v>
      </c>
      <c r="J63" s="38" t="str">
        <f t="shared" si="1"/>
        <v>Paulo Gouveia</v>
      </c>
      <c r="K63" s="39">
        <f t="shared" si="2"/>
        <v>1539</v>
      </c>
      <c r="L63" s="39">
        <f t="shared" si="3"/>
        <v>158714</v>
      </c>
      <c r="M63" s="40">
        <f t="shared" si="8"/>
        <v>24804</v>
      </c>
      <c r="N63" s="41" t="str">
        <f t="shared" ca="1" si="9"/>
        <v>V 50</v>
      </c>
      <c r="O63" s="41" t="str">
        <f t="shared" si="4"/>
        <v>M</v>
      </c>
      <c r="P63" s="60" t="str">
        <f t="shared" si="5"/>
        <v>ACM-M</v>
      </c>
      <c r="Q63" s="61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3">
      <c r="A64" s="28">
        <v>1542</v>
      </c>
      <c r="B64" s="28">
        <v>152310</v>
      </c>
      <c r="C64" s="129" t="s">
        <v>812</v>
      </c>
      <c r="D64" s="128" t="s">
        <v>796</v>
      </c>
      <c r="E64" s="128" t="s">
        <v>145</v>
      </c>
      <c r="F64" s="29">
        <v>27987</v>
      </c>
      <c r="G64" s="56" t="str">
        <f t="shared" ca="1" si="6"/>
        <v>V 40</v>
      </c>
      <c r="H64" s="28">
        <f t="shared" ca="1" si="7"/>
        <v>44</v>
      </c>
      <c r="J64" s="38" t="str">
        <f t="shared" si="1"/>
        <v>Rafael Luís</v>
      </c>
      <c r="K64" s="39">
        <f t="shared" si="2"/>
        <v>1542</v>
      </c>
      <c r="L64" s="39">
        <f t="shared" si="3"/>
        <v>152310</v>
      </c>
      <c r="M64" s="40">
        <f t="shared" si="8"/>
        <v>27987</v>
      </c>
      <c r="N64" s="41" t="str">
        <f t="shared" ca="1" si="9"/>
        <v>V 40</v>
      </c>
      <c r="O64" s="41" t="str">
        <f t="shared" si="4"/>
        <v>M</v>
      </c>
      <c r="P64" s="60" t="str">
        <f t="shared" si="5"/>
        <v>ACM-M</v>
      </c>
      <c r="Q64" s="61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3">
      <c r="A65" s="28">
        <v>1543</v>
      </c>
      <c r="B65" s="28">
        <v>152431</v>
      </c>
      <c r="C65" s="129" t="s">
        <v>814</v>
      </c>
      <c r="D65" s="128" t="s">
        <v>796</v>
      </c>
      <c r="E65" s="128" t="s">
        <v>145</v>
      </c>
      <c r="F65" s="29">
        <v>29974</v>
      </c>
      <c r="G65" s="56" t="str">
        <f t="shared" ca="1" si="6"/>
        <v>V 35</v>
      </c>
      <c r="H65" s="28">
        <f t="shared" ca="1" si="7"/>
        <v>39</v>
      </c>
      <c r="J65" s="38" t="str">
        <f t="shared" si="1"/>
        <v>J. Luís Santos</v>
      </c>
      <c r="K65" s="39">
        <f t="shared" si="2"/>
        <v>1543</v>
      </c>
      <c r="L65" s="39">
        <f t="shared" si="3"/>
        <v>152431</v>
      </c>
      <c r="M65" s="40">
        <f t="shared" si="8"/>
        <v>29974</v>
      </c>
      <c r="N65" s="41" t="str">
        <f t="shared" ca="1" si="9"/>
        <v>V 35</v>
      </c>
      <c r="O65" s="41" t="str">
        <f t="shared" si="4"/>
        <v>M</v>
      </c>
      <c r="P65" s="60" t="str">
        <f t="shared" si="5"/>
        <v>ACM-M</v>
      </c>
      <c r="Q65" s="61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3">
      <c r="A66" s="28">
        <v>1544</v>
      </c>
      <c r="B66" s="28">
        <v>140917</v>
      </c>
      <c r="C66" s="129" t="s">
        <v>1303</v>
      </c>
      <c r="D66" s="128" t="s">
        <v>796</v>
      </c>
      <c r="E66" s="128" t="s">
        <v>145</v>
      </c>
      <c r="F66" s="29">
        <v>32081</v>
      </c>
      <c r="G66" s="56" t="str">
        <f t="shared" ca="1" si="6"/>
        <v>Sénior</v>
      </c>
      <c r="H66" s="28">
        <f t="shared" ca="1" si="7"/>
        <v>33</v>
      </c>
      <c r="J66" s="38" t="str">
        <f t="shared" ref="J66:J129" si="10">C66</f>
        <v>Higino Faria</v>
      </c>
      <c r="K66" s="39">
        <f t="shared" ref="K66:K129" si="11">A66</f>
        <v>1544</v>
      </c>
      <c r="L66" s="39">
        <f t="shared" ref="L66:L129" si="12">B66</f>
        <v>140917</v>
      </c>
      <c r="M66" s="40">
        <f t="shared" si="8"/>
        <v>32081</v>
      </c>
      <c r="N66" s="41" t="str">
        <f t="shared" ca="1" si="9"/>
        <v>Sénior</v>
      </c>
      <c r="O66" s="41" t="str">
        <f t="shared" ref="O66:O129" si="13">E66</f>
        <v>M</v>
      </c>
      <c r="P66" s="60" t="str">
        <f t="shared" ref="P66:P129" si="14">D66</f>
        <v>ACM-M</v>
      </c>
      <c r="Q66" s="61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3">
      <c r="A67" s="28">
        <v>1535</v>
      </c>
      <c r="B67" s="28">
        <v>152404</v>
      </c>
      <c r="C67" s="129" t="s">
        <v>813</v>
      </c>
      <c r="D67" s="128" t="s">
        <v>796</v>
      </c>
      <c r="E67" s="128" t="s">
        <v>145</v>
      </c>
      <c r="F67" s="29">
        <v>23702</v>
      </c>
      <c r="G67" s="5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B",IF(YEAR(TODAY())-YEAR(F67)&lt;14,"Infantil",IF(YEAR(TODAY())-YEAR(F67)&lt;16,"Iniciado",IF(YEAR(TODAY())-YEAR(F67)&lt;18,"Juvenil",IF(YEAR(TODAY())-YEAR(F67)&lt;20,"Júnior",IF(YEAR(TODAY())-YEAR(F67)&lt;23,"sub 23",IF(ROUNDDOWN(INT(TODAY()-F67)/365.25,0)&lt;35,"Sénior",IF(ROUNDDOWN(INT(TODAY()-F67)/365.25,0)&lt;40,"V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65",IF(ROUNDDOWN(INT(TODAY()-F67)/365.25,0)&lt;75,"V 70",IF(ROUNDDOWN(INT(TODAY()-F67)/365.25,0)&lt;80,"V 75",IF(ROUNDDOWN(INT(TODAY()-F67)/365.25,0)&lt;85,"V 80",IF(ROUNDDOWN(INT(TODAY()-F67)/365.25,0)&lt;90,"V 85",IF(ROUNDDOWN(INT(TODAY()-F67)/365.25,0)&lt;95,"V 90",IF(ROUNDDOWN(INT(TODAY()-F67)/365.25,0)&lt;100,"V 95",IF(ROUNDDOWN(INT(TODAY()-F67)/365.25,0)&gt;=100,"V 100",""))))))))))))))))))))))),"")</f>
        <v>V 55</v>
      </c>
      <c r="H67" s="28">
        <f t="shared" ref="H67:H130" ca="1" si="16">IFERROR(IF($A67&gt;0,ROUNDDOWN(INT(TODAY()-F67)/365.25,0),""),"")</f>
        <v>56</v>
      </c>
      <c r="J67" s="38" t="str">
        <f t="shared" si="10"/>
        <v>Samuel Matos</v>
      </c>
      <c r="K67" s="39">
        <f t="shared" si="11"/>
        <v>1535</v>
      </c>
      <c r="L67" s="39">
        <f t="shared" si="12"/>
        <v>152404</v>
      </c>
      <c r="M67" s="40">
        <f t="shared" ref="M67:M130" si="17">F67</f>
        <v>23702</v>
      </c>
      <c r="N67" s="41" t="str">
        <f t="shared" ref="N67:N130" ca="1" si="18">G67</f>
        <v>V 55</v>
      </c>
      <c r="O67" s="41" t="str">
        <f t="shared" si="13"/>
        <v>M</v>
      </c>
      <c r="P67" s="60" t="str">
        <f t="shared" si="14"/>
        <v>ACM-M</v>
      </c>
      <c r="Q67" s="61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3">
      <c r="A68" s="28">
        <v>1540</v>
      </c>
      <c r="B68" s="28">
        <v>155733</v>
      </c>
      <c r="C68" s="129" t="s">
        <v>1045</v>
      </c>
      <c r="D68" s="128" t="s">
        <v>796</v>
      </c>
      <c r="E68" s="128" t="s">
        <v>145</v>
      </c>
      <c r="F68" s="29">
        <v>27708</v>
      </c>
      <c r="G68" s="56" t="str">
        <f t="shared" ca="1" si="15"/>
        <v>V 45</v>
      </c>
      <c r="H68" s="28">
        <f t="shared" ca="1" si="16"/>
        <v>45</v>
      </c>
      <c r="J68" s="38" t="str">
        <f t="shared" si="10"/>
        <v>Joel Freitas</v>
      </c>
      <c r="K68" s="39">
        <f t="shared" si="11"/>
        <v>1540</v>
      </c>
      <c r="L68" s="39">
        <f t="shared" si="12"/>
        <v>155733</v>
      </c>
      <c r="M68" s="40">
        <f t="shared" si="17"/>
        <v>27708</v>
      </c>
      <c r="N68" s="41" t="str">
        <f t="shared" ca="1" si="18"/>
        <v>V 45</v>
      </c>
      <c r="O68" s="41" t="str">
        <f t="shared" si="13"/>
        <v>M</v>
      </c>
      <c r="P68" s="60" t="str">
        <f t="shared" si="14"/>
        <v>ACM-M</v>
      </c>
      <c r="Q68" s="61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3">
      <c r="A69" s="28">
        <v>1538</v>
      </c>
      <c r="B69" s="28">
        <v>128804</v>
      </c>
      <c r="C69" s="129" t="s">
        <v>688</v>
      </c>
      <c r="D69" s="128" t="s">
        <v>796</v>
      </c>
      <c r="E69" s="128" t="s">
        <v>145</v>
      </c>
      <c r="F69" s="29">
        <v>25203</v>
      </c>
      <c r="G69" s="56" t="str">
        <f t="shared" ca="1" si="15"/>
        <v>V 50</v>
      </c>
      <c r="H69" s="28">
        <f t="shared" ca="1" si="16"/>
        <v>52</v>
      </c>
      <c r="J69" s="38" t="str">
        <f t="shared" si="10"/>
        <v>Nuno Faria</v>
      </c>
      <c r="K69" s="39">
        <f t="shared" si="11"/>
        <v>1538</v>
      </c>
      <c r="L69" s="39">
        <f t="shared" si="12"/>
        <v>128804</v>
      </c>
      <c r="M69" s="40">
        <f t="shared" si="17"/>
        <v>25203</v>
      </c>
      <c r="N69" s="41" t="str">
        <f t="shared" ca="1" si="18"/>
        <v>V 50</v>
      </c>
      <c r="O69" s="41" t="str">
        <f t="shared" si="13"/>
        <v>M</v>
      </c>
      <c r="P69" s="60" t="str">
        <f t="shared" si="14"/>
        <v>ACM-M</v>
      </c>
      <c r="Q69" s="61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3">
      <c r="A70" s="28">
        <v>1537</v>
      </c>
      <c r="B70" s="28">
        <v>139479</v>
      </c>
      <c r="C70" s="129" t="s">
        <v>1046</v>
      </c>
      <c r="D70" s="128" t="s">
        <v>796</v>
      </c>
      <c r="E70" s="128" t="s">
        <v>145</v>
      </c>
      <c r="F70" s="29">
        <v>25777</v>
      </c>
      <c r="G70" s="56" t="str">
        <f t="shared" ca="1" si="15"/>
        <v>V 50</v>
      </c>
      <c r="H70" s="28">
        <f t="shared" ca="1" si="16"/>
        <v>50</v>
      </c>
      <c r="J70" s="38" t="str">
        <f t="shared" si="10"/>
        <v>Cândido Barros</v>
      </c>
      <c r="K70" s="39">
        <f t="shared" si="11"/>
        <v>1537</v>
      </c>
      <c r="L70" s="39">
        <f t="shared" si="12"/>
        <v>139479</v>
      </c>
      <c r="M70" s="40">
        <f t="shared" si="17"/>
        <v>25777</v>
      </c>
      <c r="N70" s="41" t="str">
        <f t="shared" ca="1" si="18"/>
        <v>V 50</v>
      </c>
      <c r="O70" s="41" t="str">
        <f t="shared" si="13"/>
        <v>M</v>
      </c>
      <c r="P70" s="60" t="str">
        <f t="shared" si="14"/>
        <v>ACM-M</v>
      </c>
      <c r="Q70" s="61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3">
      <c r="A71" s="28">
        <v>1541</v>
      </c>
      <c r="B71" s="28">
        <v>149677</v>
      </c>
      <c r="C71" s="129" t="s">
        <v>985</v>
      </c>
      <c r="D71" s="128" t="s">
        <v>796</v>
      </c>
      <c r="E71" s="128" t="s">
        <v>145</v>
      </c>
      <c r="F71" s="29">
        <v>29291</v>
      </c>
      <c r="G71" s="56" t="str">
        <f t="shared" ca="1" si="15"/>
        <v>V 40</v>
      </c>
      <c r="H71" s="28">
        <f t="shared" ca="1" si="16"/>
        <v>41</v>
      </c>
      <c r="J71" s="38" t="str">
        <f t="shared" si="10"/>
        <v>Luis Perez</v>
      </c>
      <c r="K71" s="39">
        <f t="shared" si="11"/>
        <v>1541</v>
      </c>
      <c r="L71" s="39">
        <f t="shared" si="12"/>
        <v>149677</v>
      </c>
      <c r="M71" s="40">
        <f t="shared" si="17"/>
        <v>29291</v>
      </c>
      <c r="N71" s="41" t="str">
        <f t="shared" ca="1" si="18"/>
        <v>V 40</v>
      </c>
      <c r="O71" s="41" t="str">
        <f t="shared" si="13"/>
        <v>M</v>
      </c>
      <c r="P71" s="60" t="str">
        <f t="shared" si="14"/>
        <v>ACM-M</v>
      </c>
      <c r="Q71" s="6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3">
      <c r="A72" s="28">
        <v>1536</v>
      </c>
      <c r="B72" s="28">
        <v>140235</v>
      </c>
      <c r="C72" s="129" t="s">
        <v>1115</v>
      </c>
      <c r="D72" s="128" t="s">
        <v>796</v>
      </c>
      <c r="E72" s="128" t="s">
        <v>145</v>
      </c>
      <c r="F72" s="29">
        <v>25426</v>
      </c>
      <c r="G72" s="56" t="str">
        <f t="shared" ca="1" si="15"/>
        <v>V 50</v>
      </c>
      <c r="H72" s="28">
        <f t="shared" ca="1" si="16"/>
        <v>51</v>
      </c>
      <c r="J72" s="38" t="str">
        <f t="shared" si="10"/>
        <v>António Madaleno</v>
      </c>
      <c r="K72" s="39">
        <f t="shared" si="11"/>
        <v>1536</v>
      </c>
      <c r="L72" s="39">
        <f t="shared" si="12"/>
        <v>140235</v>
      </c>
      <c r="M72" s="40">
        <f t="shared" si="17"/>
        <v>25426</v>
      </c>
      <c r="N72" s="41" t="str">
        <f t="shared" ca="1" si="18"/>
        <v>V 50</v>
      </c>
      <c r="O72" s="41" t="str">
        <f t="shared" si="13"/>
        <v>M</v>
      </c>
      <c r="P72" s="60" t="str">
        <f t="shared" si="14"/>
        <v>ACM-M</v>
      </c>
      <c r="Q72" s="61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3">
      <c r="A73" s="28">
        <v>5</v>
      </c>
      <c r="B73" s="28">
        <v>163065</v>
      </c>
      <c r="C73" s="129" t="s">
        <v>1486</v>
      </c>
      <c r="D73" s="128" t="s">
        <v>796</v>
      </c>
      <c r="E73" s="128" t="s">
        <v>146</v>
      </c>
      <c r="F73" s="29">
        <v>34893</v>
      </c>
      <c r="G73" s="56" t="str">
        <f t="shared" ca="1" si="15"/>
        <v>Sénior</v>
      </c>
      <c r="H73" s="28">
        <f t="shared" ca="1" si="16"/>
        <v>25</v>
      </c>
      <c r="J73" s="38" t="str">
        <f t="shared" si="10"/>
        <v>Leonely Cardenas</v>
      </c>
      <c r="K73" s="39">
        <f t="shared" si="11"/>
        <v>5</v>
      </c>
      <c r="L73" s="39">
        <f t="shared" si="12"/>
        <v>163065</v>
      </c>
      <c r="M73" s="40">
        <f t="shared" si="17"/>
        <v>34893</v>
      </c>
      <c r="N73" s="41" t="str">
        <f t="shared" ca="1" si="18"/>
        <v>Sénior</v>
      </c>
      <c r="O73" s="41" t="str">
        <f t="shared" si="13"/>
        <v>F</v>
      </c>
      <c r="P73" s="60" t="str">
        <f t="shared" si="14"/>
        <v>ACM-M</v>
      </c>
      <c r="Q73" s="61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3">
      <c r="A74" s="28">
        <v>964</v>
      </c>
      <c r="B74" s="28">
        <v>151601</v>
      </c>
      <c r="C74" s="129" t="s">
        <v>800</v>
      </c>
      <c r="D74" s="128" t="s">
        <v>148</v>
      </c>
      <c r="E74" s="128" t="s">
        <v>145</v>
      </c>
      <c r="F74" s="29">
        <v>25842</v>
      </c>
      <c r="G74" s="56" t="str">
        <f t="shared" ca="1" si="15"/>
        <v>V 50</v>
      </c>
      <c r="H74" s="28">
        <f t="shared" ca="1" si="16"/>
        <v>50</v>
      </c>
      <c r="J74" s="38" t="str">
        <f t="shared" si="10"/>
        <v>Carlos Maligno</v>
      </c>
      <c r="K74" s="39">
        <f t="shared" si="11"/>
        <v>964</v>
      </c>
      <c r="L74" s="39">
        <f t="shared" si="12"/>
        <v>151601</v>
      </c>
      <c r="M74" s="40">
        <f t="shared" si="17"/>
        <v>25842</v>
      </c>
      <c r="N74" s="41" t="str">
        <f t="shared" ca="1" si="18"/>
        <v>V 50</v>
      </c>
      <c r="O74" s="41" t="str">
        <f t="shared" si="13"/>
        <v>M</v>
      </c>
      <c r="P74" s="60" t="str">
        <f t="shared" si="14"/>
        <v>IND-M</v>
      </c>
      <c r="Q74" s="61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3">
      <c r="A75" s="28">
        <v>1771</v>
      </c>
      <c r="B75" s="28">
        <v>162667</v>
      </c>
      <c r="C75" s="129" t="s">
        <v>1419</v>
      </c>
      <c r="D75" s="128" t="s">
        <v>124</v>
      </c>
      <c r="E75" s="128" t="s">
        <v>146</v>
      </c>
      <c r="F75" s="29">
        <v>39139</v>
      </c>
      <c r="G75" s="56" t="str">
        <f t="shared" ca="1" si="15"/>
        <v>Iniciado</v>
      </c>
      <c r="H75" s="28">
        <f t="shared" ca="1" si="16"/>
        <v>14</v>
      </c>
      <c r="J75" s="38" t="str">
        <f t="shared" si="10"/>
        <v>Inês E. Fernandes</v>
      </c>
      <c r="K75" s="39">
        <f t="shared" si="11"/>
        <v>1771</v>
      </c>
      <c r="L75" s="39">
        <f t="shared" si="12"/>
        <v>162667</v>
      </c>
      <c r="M75" s="40">
        <f t="shared" si="17"/>
        <v>39139</v>
      </c>
      <c r="N75" s="41" t="str">
        <f t="shared" ca="1" si="18"/>
        <v>Iniciado</v>
      </c>
      <c r="O75" s="41" t="str">
        <f t="shared" si="13"/>
        <v>F</v>
      </c>
      <c r="P75" s="60" t="str">
        <f t="shared" si="14"/>
        <v>CSM</v>
      </c>
      <c r="Q75" s="61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3">
      <c r="A76" s="28">
        <v>1719</v>
      </c>
      <c r="B76" s="28">
        <v>154879</v>
      </c>
      <c r="C76" s="129" t="s">
        <v>1243</v>
      </c>
      <c r="D76" s="128" t="s">
        <v>124</v>
      </c>
      <c r="E76" s="128" t="s">
        <v>145</v>
      </c>
      <c r="F76" s="29">
        <v>38426</v>
      </c>
      <c r="G76" s="56" t="str">
        <f t="shared" ca="1" si="15"/>
        <v>Juvenil</v>
      </c>
      <c r="H76" s="28">
        <f t="shared" ca="1" si="16"/>
        <v>16</v>
      </c>
      <c r="J76" s="38" t="str">
        <f t="shared" si="10"/>
        <v>Hugo Fernandes</v>
      </c>
      <c r="K76" s="39">
        <f t="shared" si="11"/>
        <v>1719</v>
      </c>
      <c r="L76" s="39">
        <f t="shared" si="12"/>
        <v>154879</v>
      </c>
      <c r="M76" s="40">
        <f t="shared" si="17"/>
        <v>38426</v>
      </c>
      <c r="N76" s="41" t="str">
        <f t="shared" ca="1" si="18"/>
        <v>Juvenil</v>
      </c>
      <c r="O76" s="41" t="str">
        <f t="shared" si="13"/>
        <v>M</v>
      </c>
      <c r="P76" s="60" t="str">
        <f t="shared" si="14"/>
        <v>CSM</v>
      </c>
      <c r="Q76" s="61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3">
      <c r="A77" s="28">
        <v>1718</v>
      </c>
      <c r="B77" s="28">
        <v>140218</v>
      </c>
      <c r="C77" s="129" t="s">
        <v>447</v>
      </c>
      <c r="D77" s="128" t="s">
        <v>124</v>
      </c>
      <c r="E77" s="128" t="s">
        <v>145</v>
      </c>
      <c r="F77" s="29">
        <v>38371</v>
      </c>
      <c r="G77" s="56" t="str">
        <f t="shared" ca="1" si="15"/>
        <v>Juvenil</v>
      </c>
      <c r="H77" s="28">
        <f t="shared" ca="1" si="16"/>
        <v>16</v>
      </c>
      <c r="J77" s="38" t="str">
        <f t="shared" si="10"/>
        <v>Duarte Fernandes</v>
      </c>
      <c r="K77" s="39">
        <f t="shared" si="11"/>
        <v>1718</v>
      </c>
      <c r="L77" s="39">
        <f t="shared" si="12"/>
        <v>140218</v>
      </c>
      <c r="M77" s="40">
        <f t="shared" si="17"/>
        <v>38371</v>
      </c>
      <c r="N77" s="41" t="str">
        <f t="shared" ca="1" si="18"/>
        <v>Juvenil</v>
      </c>
      <c r="O77" s="41" t="str">
        <f t="shared" si="13"/>
        <v>M</v>
      </c>
      <c r="P77" s="60" t="str">
        <f t="shared" si="14"/>
        <v>CSM</v>
      </c>
      <c r="Q77" s="61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3">
      <c r="A78" s="28">
        <v>1569</v>
      </c>
      <c r="B78" s="28">
        <v>130007</v>
      </c>
      <c r="C78" s="129" t="s">
        <v>1074</v>
      </c>
      <c r="D78" s="128" t="s">
        <v>124</v>
      </c>
      <c r="E78" s="128" t="s">
        <v>146</v>
      </c>
      <c r="F78" s="29">
        <v>38183</v>
      </c>
      <c r="G78" s="56" t="str">
        <f t="shared" ca="1" si="15"/>
        <v>Juvenil</v>
      </c>
      <c r="H78" s="28">
        <f t="shared" ca="1" si="16"/>
        <v>16</v>
      </c>
      <c r="J78" s="38" t="str">
        <f t="shared" si="10"/>
        <v>Taísa Silva</v>
      </c>
      <c r="K78" s="39">
        <f t="shared" si="11"/>
        <v>1569</v>
      </c>
      <c r="L78" s="39">
        <f t="shared" si="12"/>
        <v>130007</v>
      </c>
      <c r="M78" s="40">
        <f t="shared" si="17"/>
        <v>38183</v>
      </c>
      <c r="N78" s="41" t="str">
        <f t="shared" ca="1" si="18"/>
        <v>Juvenil</v>
      </c>
      <c r="O78" s="41" t="str">
        <f t="shared" si="13"/>
        <v>F</v>
      </c>
      <c r="P78" s="60" t="str">
        <f t="shared" si="14"/>
        <v>CSM</v>
      </c>
      <c r="Q78" s="61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3">
      <c r="A79" s="28">
        <v>1721</v>
      </c>
      <c r="B79" s="28">
        <v>153111</v>
      </c>
      <c r="C79" s="129" t="s">
        <v>855</v>
      </c>
      <c r="D79" s="128" t="s">
        <v>124</v>
      </c>
      <c r="E79" s="128" t="s">
        <v>145</v>
      </c>
      <c r="F79" s="29">
        <v>37669</v>
      </c>
      <c r="G79" s="56" t="str">
        <f t="shared" ca="1" si="15"/>
        <v>Júnior</v>
      </c>
      <c r="H79" s="28">
        <f t="shared" ca="1" si="16"/>
        <v>18</v>
      </c>
      <c r="J79" s="38" t="str">
        <f t="shared" si="10"/>
        <v>José Luís Gomes</v>
      </c>
      <c r="K79" s="39">
        <f t="shared" si="11"/>
        <v>1721</v>
      </c>
      <c r="L79" s="39">
        <f t="shared" si="12"/>
        <v>153111</v>
      </c>
      <c r="M79" s="40">
        <f t="shared" si="17"/>
        <v>37669</v>
      </c>
      <c r="N79" s="41" t="str">
        <f t="shared" ca="1" si="18"/>
        <v>Júnior</v>
      </c>
      <c r="O79" s="41" t="str">
        <f t="shared" si="13"/>
        <v>M</v>
      </c>
      <c r="P79" s="60" t="str">
        <f t="shared" si="14"/>
        <v>CSM</v>
      </c>
      <c r="Q79" s="61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3">
      <c r="A80" s="28">
        <v>1039</v>
      </c>
      <c r="B80" s="28">
        <v>125023</v>
      </c>
      <c r="C80" s="129" t="s">
        <v>1283</v>
      </c>
      <c r="D80" s="128" t="s">
        <v>124</v>
      </c>
      <c r="E80" s="128" t="s">
        <v>145</v>
      </c>
      <c r="F80" s="29">
        <v>35285</v>
      </c>
      <c r="G80" s="56" t="str">
        <f t="shared" ca="1" si="15"/>
        <v>Sénior</v>
      </c>
      <c r="H80" s="28">
        <f t="shared" ca="1" si="16"/>
        <v>24</v>
      </c>
      <c r="J80" s="38" t="str">
        <f t="shared" si="10"/>
        <v>Luís E. Santos</v>
      </c>
      <c r="K80" s="39">
        <f t="shared" si="11"/>
        <v>1039</v>
      </c>
      <c r="L80" s="39">
        <f t="shared" si="12"/>
        <v>125023</v>
      </c>
      <c r="M80" s="40">
        <f t="shared" si="17"/>
        <v>35285</v>
      </c>
      <c r="N80" s="41" t="str">
        <f t="shared" ca="1" si="18"/>
        <v>Sénior</v>
      </c>
      <c r="O80" s="41" t="str">
        <f t="shared" si="13"/>
        <v>M</v>
      </c>
      <c r="P80" s="60" t="str">
        <f t="shared" si="14"/>
        <v>CSM</v>
      </c>
      <c r="Q80" s="61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3">
      <c r="A81" s="28">
        <v>197</v>
      </c>
      <c r="B81" s="28">
        <v>123240</v>
      </c>
      <c r="C81" s="129" t="s">
        <v>1341</v>
      </c>
      <c r="D81" s="128" t="s">
        <v>124</v>
      </c>
      <c r="E81" s="128" t="s">
        <v>146</v>
      </c>
      <c r="F81" s="29">
        <v>34828</v>
      </c>
      <c r="G81" s="56" t="str">
        <f t="shared" ca="1" si="15"/>
        <v>Sénior</v>
      </c>
      <c r="H81" s="28">
        <f t="shared" ca="1" si="16"/>
        <v>25</v>
      </c>
      <c r="J81" s="38" t="str">
        <f t="shared" si="10"/>
        <v>Vera Portela</v>
      </c>
      <c r="K81" s="39">
        <f t="shared" si="11"/>
        <v>197</v>
      </c>
      <c r="L81" s="39">
        <f t="shared" si="12"/>
        <v>123240</v>
      </c>
      <c r="M81" s="40">
        <f t="shared" si="17"/>
        <v>34828</v>
      </c>
      <c r="N81" s="41" t="str">
        <f t="shared" ca="1" si="18"/>
        <v>Sénior</v>
      </c>
      <c r="O81" s="41" t="str">
        <f t="shared" si="13"/>
        <v>F</v>
      </c>
      <c r="P81" s="60" t="str">
        <f t="shared" si="14"/>
        <v>CSM</v>
      </c>
      <c r="Q81" s="6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3">
      <c r="A82" s="28">
        <v>212</v>
      </c>
      <c r="B82" s="28">
        <v>123242</v>
      </c>
      <c r="C82" s="129" t="s">
        <v>1342</v>
      </c>
      <c r="D82" s="128" t="s">
        <v>124</v>
      </c>
      <c r="E82" s="128" t="s">
        <v>146</v>
      </c>
      <c r="F82" s="29">
        <v>31047</v>
      </c>
      <c r="G82" s="56" t="str">
        <f t="shared" ca="1" si="15"/>
        <v>V 35</v>
      </c>
      <c r="H82" s="28">
        <f t="shared" ca="1" si="16"/>
        <v>36</v>
      </c>
      <c r="J82" s="38" t="str">
        <f t="shared" si="10"/>
        <v>Cândida Bairrada</v>
      </c>
      <c r="K82" s="39">
        <f t="shared" si="11"/>
        <v>212</v>
      </c>
      <c r="L82" s="39">
        <f t="shared" si="12"/>
        <v>123242</v>
      </c>
      <c r="M82" s="40">
        <f t="shared" si="17"/>
        <v>31047</v>
      </c>
      <c r="N82" s="41" t="str">
        <f t="shared" ca="1" si="18"/>
        <v>V 35</v>
      </c>
      <c r="O82" s="41" t="str">
        <f t="shared" si="13"/>
        <v>F</v>
      </c>
      <c r="P82" s="60" t="str">
        <f t="shared" si="14"/>
        <v>CSM</v>
      </c>
      <c r="Q82" s="61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3">
      <c r="A83" s="28">
        <v>1029</v>
      </c>
      <c r="B83" s="28">
        <v>140020</v>
      </c>
      <c r="C83" s="129" t="s">
        <v>468</v>
      </c>
      <c r="D83" s="128" t="s">
        <v>124</v>
      </c>
      <c r="E83" s="128" t="s">
        <v>145</v>
      </c>
      <c r="F83" s="29">
        <v>22467</v>
      </c>
      <c r="G83" s="56" t="str">
        <f t="shared" ca="1" si="15"/>
        <v>V 55</v>
      </c>
      <c r="H83" s="28">
        <f t="shared" ca="1" si="16"/>
        <v>59</v>
      </c>
      <c r="J83" s="38" t="str">
        <f t="shared" si="10"/>
        <v>Teodoto Silva</v>
      </c>
      <c r="K83" s="39">
        <f t="shared" si="11"/>
        <v>1029</v>
      </c>
      <c r="L83" s="39">
        <f t="shared" si="12"/>
        <v>140020</v>
      </c>
      <c r="M83" s="40">
        <f t="shared" si="17"/>
        <v>22467</v>
      </c>
      <c r="N83" s="41" t="str">
        <f t="shared" ca="1" si="18"/>
        <v>V 55</v>
      </c>
      <c r="O83" s="41" t="str">
        <f t="shared" si="13"/>
        <v>M</v>
      </c>
      <c r="P83" s="60" t="str">
        <f t="shared" si="14"/>
        <v>CSM</v>
      </c>
      <c r="Q83" s="61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3">
      <c r="A84" s="28">
        <v>207</v>
      </c>
      <c r="B84" s="28">
        <v>128353</v>
      </c>
      <c r="C84" s="129" t="s">
        <v>1424</v>
      </c>
      <c r="D84" s="128" t="s">
        <v>124</v>
      </c>
      <c r="E84" s="128" t="s">
        <v>146</v>
      </c>
      <c r="F84" s="29">
        <v>36935</v>
      </c>
      <c r="G84" s="56" t="str">
        <f t="shared" ca="1" si="15"/>
        <v>sub 23</v>
      </c>
      <c r="H84" s="28">
        <f t="shared" ca="1" si="16"/>
        <v>20</v>
      </c>
      <c r="J84" s="38" t="str">
        <f t="shared" si="10"/>
        <v>Maria Esteves</v>
      </c>
      <c r="K84" s="39">
        <f t="shared" si="11"/>
        <v>207</v>
      </c>
      <c r="L84" s="39">
        <f t="shared" si="12"/>
        <v>128353</v>
      </c>
      <c r="M84" s="40">
        <f t="shared" si="17"/>
        <v>36935</v>
      </c>
      <c r="N84" s="41" t="str">
        <f t="shared" ca="1" si="18"/>
        <v>sub 23</v>
      </c>
      <c r="O84" s="41" t="str">
        <f t="shared" si="13"/>
        <v>F</v>
      </c>
      <c r="P84" s="60" t="str">
        <f t="shared" si="14"/>
        <v>CSM</v>
      </c>
      <c r="Q84" s="61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3">
      <c r="A85" s="28">
        <v>208</v>
      </c>
      <c r="B85" s="28">
        <v>125341</v>
      </c>
      <c r="C85" s="129" t="s">
        <v>1418</v>
      </c>
      <c r="D85" s="128" t="s">
        <v>124</v>
      </c>
      <c r="E85" s="128" t="s">
        <v>146</v>
      </c>
      <c r="F85" s="29">
        <v>36499</v>
      </c>
      <c r="G85" s="56" t="str">
        <f t="shared" ca="1" si="15"/>
        <v>sub 23</v>
      </c>
      <c r="H85" s="28">
        <f t="shared" ca="1" si="16"/>
        <v>21</v>
      </c>
      <c r="J85" s="38" t="str">
        <f t="shared" si="10"/>
        <v>Inês Cunha</v>
      </c>
      <c r="K85" s="39">
        <f t="shared" si="11"/>
        <v>208</v>
      </c>
      <c r="L85" s="39">
        <f t="shared" si="12"/>
        <v>125341</v>
      </c>
      <c r="M85" s="40">
        <f t="shared" si="17"/>
        <v>36499</v>
      </c>
      <c r="N85" s="41" t="str">
        <f t="shared" ca="1" si="18"/>
        <v>sub 23</v>
      </c>
      <c r="O85" s="41" t="str">
        <f t="shared" si="13"/>
        <v>F</v>
      </c>
      <c r="P85" s="60" t="str">
        <f t="shared" si="14"/>
        <v>CSM</v>
      </c>
      <c r="Q85" s="61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3">
      <c r="A86" s="28">
        <v>198</v>
      </c>
      <c r="B86" s="28">
        <v>130813</v>
      </c>
      <c r="C86" s="129" t="s">
        <v>1422</v>
      </c>
      <c r="D86" s="128" t="s">
        <v>124</v>
      </c>
      <c r="E86" s="128" t="s">
        <v>146</v>
      </c>
      <c r="F86" s="29">
        <v>36056</v>
      </c>
      <c r="G86" s="56" t="str">
        <f t="shared" ca="1" si="15"/>
        <v>Sénior</v>
      </c>
      <c r="H86" s="28">
        <f t="shared" ca="1" si="16"/>
        <v>22</v>
      </c>
      <c r="J86" s="38" t="str">
        <f t="shared" si="10"/>
        <v>Lara Glória</v>
      </c>
      <c r="K86" s="39">
        <f t="shared" si="11"/>
        <v>198</v>
      </c>
      <c r="L86" s="39">
        <f t="shared" si="12"/>
        <v>130813</v>
      </c>
      <c r="M86" s="40">
        <f t="shared" si="17"/>
        <v>36056</v>
      </c>
      <c r="N86" s="41" t="str">
        <f t="shared" ca="1" si="18"/>
        <v>Sénior</v>
      </c>
      <c r="O86" s="41" t="str">
        <f t="shared" si="13"/>
        <v>F</v>
      </c>
      <c r="P86" s="60" t="str">
        <f t="shared" si="14"/>
        <v>CSM</v>
      </c>
      <c r="Q86" s="61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3">
      <c r="A87" s="28">
        <v>199</v>
      </c>
      <c r="B87" s="28">
        <v>126525</v>
      </c>
      <c r="C87" s="129" t="s">
        <v>1416</v>
      </c>
      <c r="D87" s="128" t="s">
        <v>124</v>
      </c>
      <c r="E87" s="128" t="s">
        <v>146</v>
      </c>
      <c r="F87" s="29">
        <v>34260</v>
      </c>
      <c r="G87" s="56" t="str">
        <f t="shared" ca="1" si="15"/>
        <v>Sénior</v>
      </c>
      <c r="H87" s="28">
        <f t="shared" ca="1" si="16"/>
        <v>27</v>
      </c>
      <c r="J87" s="38" t="str">
        <f t="shared" si="10"/>
        <v>Alexandra Oliveira</v>
      </c>
      <c r="K87" s="39">
        <f t="shared" si="11"/>
        <v>199</v>
      </c>
      <c r="L87" s="39">
        <f t="shared" si="12"/>
        <v>126525</v>
      </c>
      <c r="M87" s="40">
        <f t="shared" si="17"/>
        <v>34260</v>
      </c>
      <c r="N87" s="41" t="str">
        <f t="shared" ca="1" si="18"/>
        <v>Sénior</v>
      </c>
      <c r="O87" s="41" t="str">
        <f t="shared" si="13"/>
        <v>F</v>
      </c>
      <c r="P87" s="60" t="str">
        <f t="shared" si="14"/>
        <v>CSM</v>
      </c>
      <c r="Q87" s="61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3">
      <c r="A88" s="28">
        <v>1030</v>
      </c>
      <c r="B88" s="28">
        <v>128063</v>
      </c>
      <c r="C88" s="129" t="s">
        <v>1436</v>
      </c>
      <c r="D88" s="128" t="s">
        <v>124</v>
      </c>
      <c r="E88" s="128" t="s">
        <v>145</v>
      </c>
      <c r="F88" s="29">
        <v>26346</v>
      </c>
      <c r="G88" s="56" t="str">
        <f t="shared" ca="1" si="15"/>
        <v>V 45</v>
      </c>
      <c r="H88" s="28">
        <f t="shared" ca="1" si="16"/>
        <v>49</v>
      </c>
      <c r="J88" s="38" t="str">
        <f t="shared" si="10"/>
        <v>Sérgio Cruz</v>
      </c>
      <c r="K88" s="39">
        <f t="shared" si="11"/>
        <v>1030</v>
      </c>
      <c r="L88" s="39">
        <f t="shared" si="12"/>
        <v>128063</v>
      </c>
      <c r="M88" s="40">
        <f t="shared" si="17"/>
        <v>26346</v>
      </c>
      <c r="N88" s="41" t="str">
        <f t="shared" ca="1" si="18"/>
        <v>V 45</v>
      </c>
      <c r="O88" s="41" t="str">
        <f t="shared" si="13"/>
        <v>M</v>
      </c>
      <c r="P88" s="60" t="str">
        <f t="shared" si="14"/>
        <v>CSM</v>
      </c>
      <c r="Q88" s="61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3">
      <c r="A89" s="28">
        <v>2229</v>
      </c>
      <c r="B89" s="28">
        <v>159824</v>
      </c>
      <c r="C89" s="129" t="s">
        <v>1253</v>
      </c>
      <c r="D89" s="128" t="s">
        <v>124</v>
      </c>
      <c r="E89" s="128" t="s">
        <v>145</v>
      </c>
      <c r="F89" s="29">
        <v>40615</v>
      </c>
      <c r="G89" s="56" t="str">
        <f t="shared" ca="1" si="15"/>
        <v>Benjamim B</v>
      </c>
      <c r="H89" s="28">
        <f t="shared" ca="1" si="16"/>
        <v>10</v>
      </c>
      <c r="J89" s="38" t="str">
        <f t="shared" si="10"/>
        <v>Mateus Cruz</v>
      </c>
      <c r="K89" s="39">
        <f t="shared" si="11"/>
        <v>2229</v>
      </c>
      <c r="L89" s="39">
        <f t="shared" si="12"/>
        <v>159824</v>
      </c>
      <c r="M89" s="40">
        <f t="shared" si="17"/>
        <v>40615</v>
      </c>
      <c r="N89" s="41" t="str">
        <f t="shared" ca="1" si="18"/>
        <v>Benjamim B</v>
      </c>
      <c r="O89" s="41" t="str">
        <f t="shared" si="13"/>
        <v>M</v>
      </c>
      <c r="P89" s="60" t="str">
        <f t="shared" si="14"/>
        <v>CSM</v>
      </c>
      <c r="Q89" s="61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3">
      <c r="A90" s="28">
        <v>963</v>
      </c>
      <c r="B90" s="28">
        <v>162722</v>
      </c>
      <c r="C90" s="129" t="s">
        <v>1494</v>
      </c>
      <c r="D90" s="128" t="s">
        <v>148</v>
      </c>
      <c r="E90" s="128" t="s">
        <v>145</v>
      </c>
      <c r="F90" s="29">
        <v>24093</v>
      </c>
      <c r="G90" s="56" t="str">
        <f t="shared" ca="1" si="15"/>
        <v>V 55</v>
      </c>
      <c r="H90" s="28">
        <f t="shared" ca="1" si="16"/>
        <v>55</v>
      </c>
      <c r="J90" s="38" t="str">
        <f t="shared" si="10"/>
        <v>Carlos M. Reis</v>
      </c>
      <c r="K90" s="39">
        <f t="shared" si="11"/>
        <v>963</v>
      </c>
      <c r="L90" s="39">
        <f t="shared" si="12"/>
        <v>162722</v>
      </c>
      <c r="M90" s="40">
        <f t="shared" si="17"/>
        <v>24093</v>
      </c>
      <c r="N90" s="41" t="str">
        <f t="shared" ca="1" si="18"/>
        <v>V 55</v>
      </c>
      <c r="O90" s="41" t="str">
        <f t="shared" si="13"/>
        <v>M</v>
      </c>
      <c r="P90" s="60" t="str">
        <f t="shared" si="14"/>
        <v>IND-M</v>
      </c>
      <c r="Q90" s="61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3">
      <c r="A91" s="28">
        <v>2225</v>
      </c>
      <c r="B91" s="28">
        <v>159868</v>
      </c>
      <c r="C91" s="129" t="s">
        <v>1252</v>
      </c>
      <c r="D91" s="128" t="s">
        <v>721</v>
      </c>
      <c r="E91" s="128" t="s">
        <v>145</v>
      </c>
      <c r="F91" s="29">
        <v>40595</v>
      </c>
      <c r="G91" s="56" t="str">
        <f t="shared" ca="1" si="15"/>
        <v>Benjamim B</v>
      </c>
      <c r="H91" s="28">
        <f t="shared" ca="1" si="16"/>
        <v>10</v>
      </c>
      <c r="J91" s="38" t="str">
        <f t="shared" si="10"/>
        <v>Gonçalo Perdigão</v>
      </c>
      <c r="K91" s="39">
        <f t="shared" si="11"/>
        <v>2225</v>
      </c>
      <c r="L91" s="39">
        <f t="shared" si="12"/>
        <v>159868</v>
      </c>
      <c r="M91" s="40">
        <f t="shared" si="17"/>
        <v>40595</v>
      </c>
      <c r="N91" s="41" t="str">
        <f t="shared" ca="1" si="18"/>
        <v>Benjamim B</v>
      </c>
      <c r="O91" s="41" t="str">
        <f t="shared" si="13"/>
        <v>M</v>
      </c>
      <c r="P91" s="60" t="str">
        <f t="shared" si="14"/>
        <v>JAC</v>
      </c>
      <c r="Q91" s="6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3">
      <c r="A92" s="28">
        <v>950</v>
      </c>
      <c r="B92" s="28">
        <v>130049</v>
      </c>
      <c r="C92" s="129" t="s">
        <v>684</v>
      </c>
      <c r="D92" s="128" t="s">
        <v>721</v>
      </c>
      <c r="E92" s="128" t="s">
        <v>145</v>
      </c>
      <c r="F92" s="29">
        <v>21638</v>
      </c>
      <c r="G92" s="56" t="str">
        <f t="shared" ca="1" si="15"/>
        <v>V 60</v>
      </c>
      <c r="H92" s="28">
        <f t="shared" ca="1" si="16"/>
        <v>62</v>
      </c>
      <c r="J92" s="38" t="str">
        <f t="shared" si="10"/>
        <v>João Jardim</v>
      </c>
      <c r="K92" s="39">
        <f t="shared" si="11"/>
        <v>950</v>
      </c>
      <c r="L92" s="39">
        <f t="shared" si="12"/>
        <v>130049</v>
      </c>
      <c r="M92" s="40">
        <f t="shared" si="17"/>
        <v>21638</v>
      </c>
      <c r="N92" s="41" t="str">
        <f t="shared" ca="1" si="18"/>
        <v>V 60</v>
      </c>
      <c r="O92" s="41" t="str">
        <f t="shared" si="13"/>
        <v>M</v>
      </c>
      <c r="P92" s="60" t="str">
        <f t="shared" si="14"/>
        <v>JAC</v>
      </c>
      <c r="Q92" s="61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3">
      <c r="A93" s="28">
        <v>956</v>
      </c>
      <c r="B93" s="28">
        <v>147991</v>
      </c>
      <c r="C93" s="129" t="s">
        <v>1255</v>
      </c>
      <c r="D93" s="128" t="s">
        <v>721</v>
      </c>
      <c r="E93" s="128" t="s">
        <v>145</v>
      </c>
      <c r="F93" s="29">
        <v>31143</v>
      </c>
      <c r="G93" s="56" t="str">
        <f t="shared" ca="1" si="15"/>
        <v>V 35</v>
      </c>
      <c r="H93" s="28">
        <f t="shared" ca="1" si="16"/>
        <v>36</v>
      </c>
      <c r="J93" s="38" t="str">
        <f t="shared" si="10"/>
        <v>Miguel Barros</v>
      </c>
      <c r="K93" s="39">
        <f t="shared" si="11"/>
        <v>956</v>
      </c>
      <c r="L93" s="39">
        <f t="shared" si="12"/>
        <v>147991</v>
      </c>
      <c r="M93" s="40">
        <f t="shared" si="17"/>
        <v>31143</v>
      </c>
      <c r="N93" s="41" t="str">
        <f t="shared" ca="1" si="18"/>
        <v>V 35</v>
      </c>
      <c r="O93" s="41" t="str">
        <f t="shared" si="13"/>
        <v>M</v>
      </c>
      <c r="P93" s="60" t="str">
        <f t="shared" si="14"/>
        <v>JAC</v>
      </c>
      <c r="Q93" s="61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3">
      <c r="A94" s="28">
        <v>955</v>
      </c>
      <c r="B94" s="28">
        <v>145766</v>
      </c>
      <c r="C94" s="129" t="s">
        <v>718</v>
      </c>
      <c r="D94" s="128" t="s">
        <v>721</v>
      </c>
      <c r="E94" s="128" t="s">
        <v>145</v>
      </c>
      <c r="F94" s="29">
        <v>29741</v>
      </c>
      <c r="G94" s="56" t="str">
        <f t="shared" ca="1" si="15"/>
        <v>V 35</v>
      </c>
      <c r="H94" s="28">
        <f t="shared" ca="1" si="16"/>
        <v>39</v>
      </c>
      <c r="J94" s="38" t="str">
        <f t="shared" si="10"/>
        <v>Emanuel Soares</v>
      </c>
      <c r="K94" s="39">
        <f t="shared" si="11"/>
        <v>955</v>
      </c>
      <c r="L94" s="39">
        <f t="shared" si="12"/>
        <v>145766</v>
      </c>
      <c r="M94" s="40">
        <f t="shared" si="17"/>
        <v>29741</v>
      </c>
      <c r="N94" s="41" t="str">
        <f t="shared" ca="1" si="18"/>
        <v>V 35</v>
      </c>
      <c r="O94" s="41" t="str">
        <f t="shared" si="13"/>
        <v>M</v>
      </c>
      <c r="P94" s="60" t="str">
        <f t="shared" si="14"/>
        <v>JAC</v>
      </c>
      <c r="Q94" s="61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3">
      <c r="A95" s="28">
        <v>949</v>
      </c>
      <c r="B95" s="28">
        <v>142678</v>
      </c>
      <c r="C95" s="129" t="s">
        <v>1254</v>
      </c>
      <c r="D95" s="128" t="s">
        <v>721</v>
      </c>
      <c r="E95" s="128" t="s">
        <v>145</v>
      </c>
      <c r="F95" s="29">
        <v>22032</v>
      </c>
      <c r="G95" s="56" t="str">
        <f t="shared" ca="1" si="15"/>
        <v>V 60</v>
      </c>
      <c r="H95" s="28">
        <f t="shared" ca="1" si="16"/>
        <v>60</v>
      </c>
      <c r="J95" s="38" t="str">
        <f t="shared" si="10"/>
        <v>António Ganança</v>
      </c>
      <c r="K95" s="39">
        <f t="shared" si="11"/>
        <v>949</v>
      </c>
      <c r="L95" s="39">
        <f t="shared" si="12"/>
        <v>142678</v>
      </c>
      <c r="M95" s="40">
        <f t="shared" si="17"/>
        <v>22032</v>
      </c>
      <c r="N95" s="41" t="str">
        <f t="shared" ca="1" si="18"/>
        <v>V 60</v>
      </c>
      <c r="O95" s="41" t="str">
        <f t="shared" si="13"/>
        <v>M</v>
      </c>
      <c r="P95" s="60" t="str">
        <f t="shared" si="14"/>
        <v>JAC</v>
      </c>
      <c r="Q95" s="61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3">
      <c r="A96" s="28">
        <v>951</v>
      </c>
      <c r="B96" s="28">
        <v>146619</v>
      </c>
      <c r="C96" s="129" t="s">
        <v>720</v>
      </c>
      <c r="D96" s="128" t="s">
        <v>721</v>
      </c>
      <c r="E96" s="128" t="s">
        <v>145</v>
      </c>
      <c r="F96" s="29">
        <v>26275</v>
      </c>
      <c r="G96" s="56" t="str">
        <f t="shared" ca="1" si="15"/>
        <v>V 45</v>
      </c>
      <c r="H96" s="28">
        <f t="shared" ca="1" si="16"/>
        <v>49</v>
      </c>
      <c r="J96" s="38" t="str">
        <f t="shared" si="10"/>
        <v>Sandro Rodrigues</v>
      </c>
      <c r="K96" s="39">
        <f t="shared" si="11"/>
        <v>951</v>
      </c>
      <c r="L96" s="39">
        <f t="shared" si="12"/>
        <v>146619</v>
      </c>
      <c r="M96" s="40">
        <f t="shared" si="17"/>
        <v>26275</v>
      </c>
      <c r="N96" s="41" t="str">
        <f t="shared" ca="1" si="18"/>
        <v>V 45</v>
      </c>
      <c r="O96" s="41" t="str">
        <f t="shared" si="13"/>
        <v>M</v>
      </c>
      <c r="P96" s="60" t="str">
        <f t="shared" si="14"/>
        <v>JAC</v>
      </c>
      <c r="Q96" s="61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3">
      <c r="A97" s="28">
        <v>2224</v>
      </c>
      <c r="B97" s="28">
        <v>149085</v>
      </c>
      <c r="C97" s="129" t="s">
        <v>757</v>
      </c>
      <c r="D97" s="128" t="s">
        <v>721</v>
      </c>
      <c r="E97" s="128" t="s">
        <v>145</v>
      </c>
      <c r="F97" s="29">
        <v>40715</v>
      </c>
      <c r="G97" s="56" t="str">
        <f t="shared" ca="1" si="15"/>
        <v>Benjamim B</v>
      </c>
      <c r="H97" s="28">
        <f t="shared" ca="1" si="16"/>
        <v>9</v>
      </c>
      <c r="J97" s="38" t="str">
        <f t="shared" si="10"/>
        <v>Júlio Serrão</v>
      </c>
      <c r="K97" s="39">
        <f t="shared" si="11"/>
        <v>2224</v>
      </c>
      <c r="L97" s="39">
        <f t="shared" si="12"/>
        <v>149085</v>
      </c>
      <c r="M97" s="40">
        <f t="shared" si="17"/>
        <v>40715</v>
      </c>
      <c r="N97" s="41" t="str">
        <f t="shared" ca="1" si="18"/>
        <v>Benjamim B</v>
      </c>
      <c r="O97" s="41" t="str">
        <f t="shared" si="13"/>
        <v>M</v>
      </c>
      <c r="P97" s="60" t="str">
        <f t="shared" si="14"/>
        <v>JAC</v>
      </c>
      <c r="Q97" s="61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3">
      <c r="A98" s="28">
        <v>954</v>
      </c>
      <c r="B98" s="28">
        <v>146472</v>
      </c>
      <c r="C98" s="129" t="s">
        <v>719</v>
      </c>
      <c r="D98" s="128" t="s">
        <v>721</v>
      </c>
      <c r="E98" s="128" t="s">
        <v>145</v>
      </c>
      <c r="F98" s="29">
        <v>30479</v>
      </c>
      <c r="G98" s="56" t="str">
        <f t="shared" ca="1" si="15"/>
        <v>V 35</v>
      </c>
      <c r="H98" s="28">
        <f t="shared" ca="1" si="16"/>
        <v>37</v>
      </c>
      <c r="J98" s="38" t="str">
        <f t="shared" si="10"/>
        <v>Rúben Serrão</v>
      </c>
      <c r="K98" s="39">
        <f t="shared" si="11"/>
        <v>954</v>
      </c>
      <c r="L98" s="39">
        <f t="shared" si="12"/>
        <v>146472</v>
      </c>
      <c r="M98" s="40">
        <f t="shared" si="17"/>
        <v>30479</v>
      </c>
      <c r="N98" s="41" t="str">
        <f t="shared" ca="1" si="18"/>
        <v>V 35</v>
      </c>
      <c r="O98" s="41" t="str">
        <f t="shared" si="13"/>
        <v>M</v>
      </c>
      <c r="P98" s="60" t="str">
        <f t="shared" si="14"/>
        <v>JAC</v>
      </c>
      <c r="Q98" s="61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3">
      <c r="A99" s="28">
        <v>948</v>
      </c>
      <c r="B99" s="28">
        <v>128732</v>
      </c>
      <c r="C99" s="129" t="s">
        <v>686</v>
      </c>
      <c r="D99" s="128" t="s">
        <v>721</v>
      </c>
      <c r="E99" s="128" t="s">
        <v>145</v>
      </c>
      <c r="F99" s="29">
        <v>20906</v>
      </c>
      <c r="G99" s="56" t="str">
        <f t="shared" ca="1" si="15"/>
        <v>V 60</v>
      </c>
      <c r="H99" s="28">
        <f t="shared" ca="1" si="16"/>
        <v>64</v>
      </c>
      <c r="J99" s="38" t="str">
        <f t="shared" si="10"/>
        <v>Luciano Jardim</v>
      </c>
      <c r="K99" s="39">
        <f t="shared" si="11"/>
        <v>948</v>
      </c>
      <c r="L99" s="39">
        <f t="shared" si="12"/>
        <v>128732</v>
      </c>
      <c r="M99" s="40">
        <f t="shared" si="17"/>
        <v>20906</v>
      </c>
      <c r="N99" s="41" t="str">
        <f t="shared" ca="1" si="18"/>
        <v>V 60</v>
      </c>
      <c r="O99" s="41" t="str">
        <f t="shared" si="13"/>
        <v>M</v>
      </c>
      <c r="P99" s="60" t="str">
        <f t="shared" si="14"/>
        <v>JAC</v>
      </c>
      <c r="Q99" s="61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3">
      <c r="A100" s="28">
        <v>957</v>
      </c>
      <c r="B100" s="28">
        <v>142672</v>
      </c>
      <c r="C100" s="129" t="s">
        <v>700</v>
      </c>
      <c r="D100" s="128" t="s">
        <v>721</v>
      </c>
      <c r="E100" s="128" t="s">
        <v>145</v>
      </c>
      <c r="F100" s="29">
        <v>31492</v>
      </c>
      <c r="G100" s="56" t="str">
        <f t="shared" ca="1" si="15"/>
        <v>V 35</v>
      </c>
      <c r="H100" s="28">
        <f t="shared" ca="1" si="16"/>
        <v>35</v>
      </c>
      <c r="J100" s="38" t="str">
        <f t="shared" si="10"/>
        <v>Luciano A. Jardim</v>
      </c>
      <c r="K100" s="39">
        <f t="shared" si="11"/>
        <v>957</v>
      </c>
      <c r="L100" s="39">
        <f t="shared" si="12"/>
        <v>142672</v>
      </c>
      <c r="M100" s="40">
        <f t="shared" si="17"/>
        <v>31492</v>
      </c>
      <c r="N100" s="41" t="str">
        <f t="shared" ca="1" si="18"/>
        <v>V 35</v>
      </c>
      <c r="O100" s="41" t="str">
        <f t="shared" si="13"/>
        <v>M</v>
      </c>
      <c r="P100" s="60" t="str">
        <f t="shared" si="14"/>
        <v>JAC</v>
      </c>
      <c r="Q100" s="61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3">
      <c r="A101" s="28">
        <v>953</v>
      </c>
      <c r="B101" s="28">
        <v>146821</v>
      </c>
      <c r="C101" s="129" t="s">
        <v>715</v>
      </c>
      <c r="D101" s="128" t="s">
        <v>721</v>
      </c>
      <c r="E101" s="128" t="s">
        <v>145</v>
      </c>
      <c r="F101" s="29">
        <v>27779</v>
      </c>
      <c r="G101" s="56" t="str">
        <f t="shared" ca="1" si="15"/>
        <v>V 45</v>
      </c>
      <c r="H101" s="28">
        <f t="shared" ca="1" si="16"/>
        <v>45</v>
      </c>
      <c r="J101" s="38" t="str">
        <f t="shared" si="10"/>
        <v>José A. Jesus</v>
      </c>
      <c r="K101" s="39">
        <f t="shared" si="11"/>
        <v>953</v>
      </c>
      <c r="L101" s="39">
        <f t="shared" si="12"/>
        <v>146821</v>
      </c>
      <c r="M101" s="40">
        <f t="shared" si="17"/>
        <v>27779</v>
      </c>
      <c r="N101" s="41" t="str">
        <f t="shared" ca="1" si="18"/>
        <v>V 45</v>
      </c>
      <c r="O101" s="41" t="str">
        <f t="shared" si="13"/>
        <v>M</v>
      </c>
      <c r="P101" s="60" t="str">
        <f t="shared" si="14"/>
        <v>JAC</v>
      </c>
      <c r="Q101" s="6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3">
      <c r="A102" s="28">
        <v>1011</v>
      </c>
      <c r="B102" s="28">
        <v>158153</v>
      </c>
      <c r="C102" s="129" t="s">
        <v>1203</v>
      </c>
      <c r="D102" s="128" t="s">
        <v>1240</v>
      </c>
      <c r="E102" s="128" t="s">
        <v>145</v>
      </c>
      <c r="F102" s="29">
        <v>26766</v>
      </c>
      <c r="G102" s="56" t="str">
        <f t="shared" ca="1" si="15"/>
        <v>V 45</v>
      </c>
      <c r="H102" s="28">
        <f t="shared" ca="1" si="16"/>
        <v>48</v>
      </c>
      <c r="J102" s="38" t="str">
        <f t="shared" si="10"/>
        <v>Paulo Monteiro</v>
      </c>
      <c r="K102" s="39">
        <f t="shared" si="11"/>
        <v>1011</v>
      </c>
      <c r="L102" s="39">
        <f t="shared" si="12"/>
        <v>158153</v>
      </c>
      <c r="M102" s="40">
        <f t="shared" si="17"/>
        <v>26766</v>
      </c>
      <c r="N102" s="41" t="str">
        <f t="shared" ca="1" si="18"/>
        <v>V 45</v>
      </c>
      <c r="O102" s="41" t="str">
        <f t="shared" si="13"/>
        <v>M</v>
      </c>
      <c r="P102" s="60" t="str">
        <f t="shared" si="14"/>
        <v>GDC-M</v>
      </c>
      <c r="Q102" s="61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3">
      <c r="A103" s="28">
        <v>1545</v>
      </c>
      <c r="B103" s="28">
        <v>129795</v>
      </c>
      <c r="C103" s="129" t="s">
        <v>953</v>
      </c>
      <c r="D103" s="128" t="s">
        <v>954</v>
      </c>
      <c r="E103" s="128" t="s">
        <v>145</v>
      </c>
      <c r="F103" s="29">
        <v>18412</v>
      </c>
      <c r="G103" s="56" t="str">
        <f t="shared" ca="1" si="15"/>
        <v>V 70</v>
      </c>
      <c r="H103" s="28">
        <f t="shared" ca="1" si="16"/>
        <v>70</v>
      </c>
      <c r="J103" s="38" t="str">
        <f t="shared" si="10"/>
        <v>Germano Gouveia</v>
      </c>
      <c r="K103" s="39">
        <f t="shared" si="11"/>
        <v>1545</v>
      </c>
      <c r="L103" s="39">
        <f t="shared" si="12"/>
        <v>129795</v>
      </c>
      <c r="M103" s="40">
        <f t="shared" si="17"/>
        <v>18412</v>
      </c>
      <c r="N103" s="41" t="str">
        <f t="shared" ca="1" si="18"/>
        <v>V 70</v>
      </c>
      <c r="O103" s="41" t="str">
        <f t="shared" si="13"/>
        <v>M</v>
      </c>
      <c r="P103" s="60" t="str">
        <f t="shared" si="14"/>
        <v>ACDSJ</v>
      </c>
      <c r="Q103" s="61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3">
      <c r="A104" s="28">
        <v>960</v>
      </c>
      <c r="B104" s="28">
        <v>133015</v>
      </c>
      <c r="C104" s="129" t="s">
        <v>779</v>
      </c>
      <c r="D104" s="128" t="s">
        <v>148</v>
      </c>
      <c r="E104" s="128" t="s">
        <v>145</v>
      </c>
      <c r="F104" s="29">
        <v>21793</v>
      </c>
      <c r="G104" s="56" t="str">
        <f t="shared" ca="1" si="15"/>
        <v>V 60</v>
      </c>
      <c r="H104" s="28">
        <f t="shared" ca="1" si="16"/>
        <v>61</v>
      </c>
      <c r="J104" s="38" t="str">
        <f t="shared" si="10"/>
        <v>Sidónio Fernandes</v>
      </c>
      <c r="K104" s="39">
        <f t="shared" si="11"/>
        <v>960</v>
      </c>
      <c r="L104" s="39">
        <f t="shared" si="12"/>
        <v>133015</v>
      </c>
      <c r="M104" s="40">
        <f t="shared" si="17"/>
        <v>21793</v>
      </c>
      <c r="N104" s="41" t="str">
        <f t="shared" ca="1" si="18"/>
        <v>V 60</v>
      </c>
      <c r="O104" s="41" t="str">
        <f t="shared" si="13"/>
        <v>M</v>
      </c>
      <c r="P104" s="60" t="str">
        <f t="shared" si="14"/>
        <v>IND-M</v>
      </c>
      <c r="Q104" s="61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3">
      <c r="A105" s="28">
        <v>968</v>
      </c>
      <c r="B105" s="28">
        <v>132972</v>
      </c>
      <c r="C105" s="129" t="s">
        <v>407</v>
      </c>
      <c r="D105" s="128" t="s">
        <v>148</v>
      </c>
      <c r="E105" s="128" t="s">
        <v>145</v>
      </c>
      <c r="F105" s="29">
        <v>25999</v>
      </c>
      <c r="G105" s="56" t="str">
        <f t="shared" ca="1" si="15"/>
        <v>V 50</v>
      </c>
      <c r="H105" s="28">
        <f t="shared" ca="1" si="16"/>
        <v>50</v>
      </c>
      <c r="J105" s="38" t="str">
        <f t="shared" si="10"/>
        <v>Aldónio Aveiro</v>
      </c>
      <c r="K105" s="39">
        <f t="shared" si="11"/>
        <v>968</v>
      </c>
      <c r="L105" s="39">
        <f t="shared" si="12"/>
        <v>132972</v>
      </c>
      <c r="M105" s="40">
        <f t="shared" si="17"/>
        <v>25999</v>
      </c>
      <c r="N105" s="41" t="str">
        <f t="shared" ca="1" si="18"/>
        <v>V 50</v>
      </c>
      <c r="O105" s="41" t="str">
        <f t="shared" si="13"/>
        <v>M</v>
      </c>
      <c r="P105" s="60" t="str">
        <f t="shared" si="14"/>
        <v>IND-M</v>
      </c>
      <c r="Q105" s="61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3">
      <c r="A106" s="28">
        <v>54</v>
      </c>
      <c r="B106" s="28">
        <v>139315</v>
      </c>
      <c r="C106" s="129" t="s">
        <v>450</v>
      </c>
      <c r="D106" s="128" t="s">
        <v>123</v>
      </c>
      <c r="E106" s="128" t="s">
        <v>146</v>
      </c>
      <c r="F106" s="29">
        <v>28866</v>
      </c>
      <c r="G106" s="56" t="str">
        <f t="shared" ca="1" si="15"/>
        <v>V 40</v>
      </c>
      <c r="H106" s="28">
        <f t="shared" ca="1" si="16"/>
        <v>42</v>
      </c>
      <c r="J106" s="38" t="str">
        <f t="shared" si="10"/>
        <v>Fátima Fernandes</v>
      </c>
      <c r="K106" s="39">
        <f t="shared" si="11"/>
        <v>54</v>
      </c>
      <c r="L106" s="39">
        <f t="shared" si="12"/>
        <v>139315</v>
      </c>
      <c r="M106" s="40">
        <f t="shared" si="17"/>
        <v>28866</v>
      </c>
      <c r="N106" s="41" t="str">
        <f t="shared" ca="1" si="18"/>
        <v>V 40</v>
      </c>
      <c r="O106" s="41" t="str">
        <f t="shared" si="13"/>
        <v>F</v>
      </c>
      <c r="P106" s="60" t="str">
        <f t="shared" si="14"/>
        <v>AJS</v>
      </c>
      <c r="Q106" s="61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3">
      <c r="A107" s="28">
        <v>1452</v>
      </c>
      <c r="B107" s="28">
        <v>124932</v>
      </c>
      <c r="C107" s="129" t="s">
        <v>1217</v>
      </c>
      <c r="D107" s="128" t="s">
        <v>123</v>
      </c>
      <c r="E107" s="128" t="s">
        <v>145</v>
      </c>
      <c r="F107" s="29">
        <v>33975</v>
      </c>
      <c r="G107" s="56" t="str">
        <f t="shared" ca="1" si="15"/>
        <v>Sénior</v>
      </c>
      <c r="H107" s="28">
        <f t="shared" ca="1" si="16"/>
        <v>28</v>
      </c>
      <c r="J107" s="38" t="str">
        <f t="shared" si="10"/>
        <v>José Fernandes</v>
      </c>
      <c r="K107" s="39">
        <f t="shared" si="11"/>
        <v>1452</v>
      </c>
      <c r="L107" s="39">
        <f t="shared" si="12"/>
        <v>124932</v>
      </c>
      <c r="M107" s="40">
        <f t="shared" si="17"/>
        <v>33975</v>
      </c>
      <c r="N107" s="41" t="str">
        <f t="shared" ca="1" si="18"/>
        <v>Sénior</v>
      </c>
      <c r="O107" s="41" t="str">
        <f t="shared" si="13"/>
        <v>M</v>
      </c>
      <c r="P107" s="60" t="str">
        <f t="shared" si="14"/>
        <v>AJS</v>
      </c>
      <c r="Q107" s="61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3">
      <c r="A108" s="28">
        <v>1558</v>
      </c>
      <c r="B108" s="28">
        <v>146962</v>
      </c>
      <c r="C108" s="129" t="s">
        <v>755</v>
      </c>
      <c r="D108" s="128" t="s">
        <v>123</v>
      </c>
      <c r="E108" s="128" t="s">
        <v>146</v>
      </c>
      <c r="F108" s="29">
        <v>38108</v>
      </c>
      <c r="G108" s="56" t="str">
        <f t="shared" ca="1" si="15"/>
        <v>Juvenil</v>
      </c>
      <c r="H108" s="28">
        <f t="shared" ca="1" si="16"/>
        <v>16</v>
      </c>
      <c r="J108" s="38" t="str">
        <f t="shared" si="10"/>
        <v>Sara Pereira</v>
      </c>
      <c r="K108" s="39">
        <f t="shared" si="11"/>
        <v>1558</v>
      </c>
      <c r="L108" s="39">
        <f t="shared" si="12"/>
        <v>146962</v>
      </c>
      <c r="M108" s="40">
        <f t="shared" si="17"/>
        <v>38108</v>
      </c>
      <c r="N108" s="41" t="str">
        <f t="shared" ca="1" si="18"/>
        <v>Juvenil</v>
      </c>
      <c r="O108" s="41" t="str">
        <f t="shared" si="13"/>
        <v>F</v>
      </c>
      <c r="P108" s="60" t="str">
        <f t="shared" si="14"/>
        <v>AJS</v>
      </c>
      <c r="Q108" s="61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3">
      <c r="A109" s="28">
        <v>1741</v>
      </c>
      <c r="B109" s="28">
        <v>148686</v>
      </c>
      <c r="C109" s="129" t="s">
        <v>756</v>
      </c>
      <c r="D109" s="128" t="s">
        <v>123</v>
      </c>
      <c r="E109" s="128" t="s">
        <v>145</v>
      </c>
      <c r="F109" s="29">
        <v>37836</v>
      </c>
      <c r="G109" s="56" t="str">
        <f t="shared" ca="1" si="15"/>
        <v>Júnior</v>
      </c>
      <c r="H109" s="28">
        <f t="shared" ca="1" si="16"/>
        <v>17</v>
      </c>
      <c r="J109" s="38" t="str">
        <f t="shared" si="10"/>
        <v>Diogo Martins</v>
      </c>
      <c r="K109" s="39">
        <f t="shared" si="11"/>
        <v>1741</v>
      </c>
      <c r="L109" s="39">
        <f t="shared" si="12"/>
        <v>148686</v>
      </c>
      <c r="M109" s="40">
        <f t="shared" si="17"/>
        <v>37836</v>
      </c>
      <c r="N109" s="41" t="str">
        <f t="shared" ca="1" si="18"/>
        <v>Júnior</v>
      </c>
      <c r="O109" s="41" t="str">
        <f t="shared" si="13"/>
        <v>M</v>
      </c>
      <c r="P109" s="60" t="str">
        <f t="shared" si="14"/>
        <v>AJS</v>
      </c>
      <c r="Q109" s="61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3">
      <c r="A110" s="28">
        <v>1559</v>
      </c>
      <c r="B110" s="28">
        <v>153126</v>
      </c>
      <c r="C110" s="129" t="s">
        <v>838</v>
      </c>
      <c r="D110" s="128" t="s">
        <v>123</v>
      </c>
      <c r="E110" s="128" t="s">
        <v>146</v>
      </c>
      <c r="F110" s="29">
        <v>38573</v>
      </c>
      <c r="G110" s="56" t="str">
        <f t="shared" ca="1" si="15"/>
        <v>Juvenil</v>
      </c>
      <c r="H110" s="28">
        <f t="shared" ca="1" si="16"/>
        <v>15</v>
      </c>
      <c r="J110" s="38" t="str">
        <f t="shared" si="10"/>
        <v>Ana Isabel Lopes</v>
      </c>
      <c r="K110" s="39">
        <f t="shared" si="11"/>
        <v>1559</v>
      </c>
      <c r="L110" s="39">
        <f t="shared" si="12"/>
        <v>153126</v>
      </c>
      <c r="M110" s="40">
        <f t="shared" si="17"/>
        <v>38573</v>
      </c>
      <c r="N110" s="41" t="str">
        <f t="shared" ca="1" si="18"/>
        <v>Juvenil</v>
      </c>
      <c r="O110" s="41" t="str">
        <f t="shared" si="13"/>
        <v>F</v>
      </c>
      <c r="P110" s="60" t="str">
        <f t="shared" si="14"/>
        <v>AJS</v>
      </c>
      <c r="Q110" s="61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3">
      <c r="A111" s="28">
        <v>1412</v>
      </c>
      <c r="B111" s="28">
        <v>140251</v>
      </c>
      <c r="C111" s="129" t="s">
        <v>455</v>
      </c>
      <c r="D111" s="128" t="s">
        <v>123</v>
      </c>
      <c r="E111" s="128" t="s">
        <v>145</v>
      </c>
      <c r="F111" s="29">
        <v>27323</v>
      </c>
      <c r="G111" s="56" t="str">
        <f t="shared" ca="1" si="15"/>
        <v>V 45</v>
      </c>
      <c r="H111" s="28">
        <f t="shared" ca="1" si="16"/>
        <v>46</v>
      </c>
      <c r="J111" s="38" t="str">
        <f t="shared" si="10"/>
        <v>Paulo Bruno Freitas</v>
      </c>
      <c r="K111" s="39">
        <f t="shared" si="11"/>
        <v>1412</v>
      </c>
      <c r="L111" s="39">
        <f t="shared" si="12"/>
        <v>140251</v>
      </c>
      <c r="M111" s="40">
        <f t="shared" si="17"/>
        <v>27323</v>
      </c>
      <c r="N111" s="41" t="str">
        <f t="shared" ca="1" si="18"/>
        <v>V 45</v>
      </c>
      <c r="O111" s="41" t="str">
        <f t="shared" si="13"/>
        <v>M</v>
      </c>
      <c r="P111" s="60" t="str">
        <f t="shared" si="14"/>
        <v>AJS</v>
      </c>
      <c r="Q111" s="6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3">
      <c r="A112" s="28">
        <v>1422</v>
      </c>
      <c r="B112" s="28">
        <v>124638</v>
      </c>
      <c r="C112" s="129" t="s">
        <v>115</v>
      </c>
      <c r="D112" s="128" t="s">
        <v>123</v>
      </c>
      <c r="E112" s="128" t="s">
        <v>145</v>
      </c>
      <c r="F112" s="29">
        <v>27788</v>
      </c>
      <c r="G112" s="56" t="str">
        <f t="shared" ca="1" si="15"/>
        <v>V 45</v>
      </c>
      <c r="H112" s="28">
        <f t="shared" ca="1" si="16"/>
        <v>45</v>
      </c>
      <c r="J112" s="38" t="str">
        <f t="shared" si="10"/>
        <v>Juvenal Faria</v>
      </c>
      <c r="K112" s="39">
        <f t="shared" si="11"/>
        <v>1422</v>
      </c>
      <c r="L112" s="39">
        <f t="shared" si="12"/>
        <v>124638</v>
      </c>
      <c r="M112" s="40">
        <f t="shared" si="17"/>
        <v>27788</v>
      </c>
      <c r="N112" s="41" t="str">
        <f t="shared" ca="1" si="18"/>
        <v>V 45</v>
      </c>
      <c r="O112" s="41" t="str">
        <f t="shared" si="13"/>
        <v>M</v>
      </c>
      <c r="P112" s="60" t="str">
        <f t="shared" si="14"/>
        <v>AJS</v>
      </c>
      <c r="Q112" s="61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3">
      <c r="A113" s="28">
        <v>1411</v>
      </c>
      <c r="B113" s="28">
        <v>124930</v>
      </c>
      <c r="C113" s="129" t="s">
        <v>114</v>
      </c>
      <c r="D113" s="128" t="s">
        <v>123</v>
      </c>
      <c r="E113" s="128" t="s">
        <v>145</v>
      </c>
      <c r="F113" s="29">
        <v>27373</v>
      </c>
      <c r="G113" s="56" t="str">
        <f t="shared" ca="1" si="15"/>
        <v>V 45</v>
      </c>
      <c r="H113" s="28">
        <f t="shared" ca="1" si="16"/>
        <v>46</v>
      </c>
      <c r="J113" s="38" t="str">
        <f t="shared" si="10"/>
        <v>José Antº Ramos</v>
      </c>
      <c r="K113" s="39">
        <f t="shared" si="11"/>
        <v>1411</v>
      </c>
      <c r="L113" s="39">
        <f t="shared" si="12"/>
        <v>124930</v>
      </c>
      <c r="M113" s="40">
        <f t="shared" si="17"/>
        <v>27373</v>
      </c>
      <c r="N113" s="41" t="str">
        <f t="shared" ca="1" si="18"/>
        <v>V 45</v>
      </c>
      <c r="O113" s="41" t="str">
        <f t="shared" si="13"/>
        <v>M</v>
      </c>
      <c r="P113" s="60" t="str">
        <f t="shared" si="14"/>
        <v>AJS</v>
      </c>
      <c r="Q113" s="61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3">
      <c r="A114" s="28">
        <v>1421</v>
      </c>
      <c r="B114" s="28">
        <v>128482</v>
      </c>
      <c r="C114" s="129" t="s">
        <v>1216</v>
      </c>
      <c r="D114" s="128" t="s">
        <v>123</v>
      </c>
      <c r="E114" s="128" t="s">
        <v>145</v>
      </c>
      <c r="F114" s="29">
        <v>28735</v>
      </c>
      <c r="G114" s="56" t="str">
        <f t="shared" ca="1" si="15"/>
        <v>V 40</v>
      </c>
      <c r="H114" s="28">
        <f t="shared" ca="1" si="16"/>
        <v>42</v>
      </c>
      <c r="J114" s="38" t="str">
        <f t="shared" si="10"/>
        <v>Manuel Faria</v>
      </c>
      <c r="K114" s="39">
        <f t="shared" si="11"/>
        <v>1421</v>
      </c>
      <c r="L114" s="39">
        <f t="shared" si="12"/>
        <v>128482</v>
      </c>
      <c r="M114" s="40">
        <f t="shared" si="17"/>
        <v>28735</v>
      </c>
      <c r="N114" s="41" t="str">
        <f t="shared" ca="1" si="18"/>
        <v>V 40</v>
      </c>
      <c r="O114" s="41" t="str">
        <f t="shared" si="13"/>
        <v>M</v>
      </c>
      <c r="P114" s="60" t="str">
        <f t="shared" si="14"/>
        <v>AJS</v>
      </c>
      <c r="Q114" s="61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3">
      <c r="A115" s="28">
        <v>55</v>
      </c>
      <c r="B115" s="28">
        <v>126166</v>
      </c>
      <c r="C115" s="129" t="s">
        <v>105</v>
      </c>
      <c r="D115" s="128" t="s">
        <v>123</v>
      </c>
      <c r="E115" s="128" t="s">
        <v>146</v>
      </c>
      <c r="F115" s="29">
        <v>29151</v>
      </c>
      <c r="G115" s="56" t="str">
        <f t="shared" ca="1" si="15"/>
        <v>V 40</v>
      </c>
      <c r="H115" s="28">
        <f t="shared" ca="1" si="16"/>
        <v>41</v>
      </c>
      <c r="J115" s="38" t="str">
        <f t="shared" si="10"/>
        <v>Cristina Nascimento</v>
      </c>
      <c r="K115" s="39">
        <f t="shared" si="11"/>
        <v>55</v>
      </c>
      <c r="L115" s="39">
        <f t="shared" si="12"/>
        <v>126166</v>
      </c>
      <c r="M115" s="40">
        <f t="shared" si="17"/>
        <v>29151</v>
      </c>
      <c r="N115" s="41" t="str">
        <f t="shared" ca="1" si="18"/>
        <v>V 40</v>
      </c>
      <c r="O115" s="41" t="str">
        <f t="shared" si="13"/>
        <v>F</v>
      </c>
      <c r="P115" s="60" t="str">
        <f t="shared" si="14"/>
        <v>AJS</v>
      </c>
      <c r="Q115" s="61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3">
      <c r="A116" s="28">
        <v>1420</v>
      </c>
      <c r="B116" s="28">
        <v>126102</v>
      </c>
      <c r="C116" s="129" t="s">
        <v>1215</v>
      </c>
      <c r="D116" s="128" t="s">
        <v>123</v>
      </c>
      <c r="E116" s="128" t="s">
        <v>145</v>
      </c>
      <c r="F116" s="29">
        <v>27752</v>
      </c>
      <c r="G116" s="56" t="str">
        <f t="shared" ca="1" si="15"/>
        <v>V 45</v>
      </c>
      <c r="H116" s="28">
        <f t="shared" ca="1" si="16"/>
        <v>45</v>
      </c>
      <c r="J116" s="38" t="str">
        <f t="shared" si="10"/>
        <v>Roberto Lúcio</v>
      </c>
      <c r="K116" s="39">
        <f t="shared" si="11"/>
        <v>1420</v>
      </c>
      <c r="L116" s="39">
        <f t="shared" si="12"/>
        <v>126102</v>
      </c>
      <c r="M116" s="40">
        <f t="shared" si="17"/>
        <v>27752</v>
      </c>
      <c r="N116" s="41" t="str">
        <f t="shared" ca="1" si="18"/>
        <v>V 45</v>
      </c>
      <c r="O116" s="41" t="str">
        <f t="shared" si="13"/>
        <v>M</v>
      </c>
      <c r="P116" s="60" t="str">
        <f t="shared" si="14"/>
        <v>AJS</v>
      </c>
      <c r="Q116" s="61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3">
      <c r="A117" s="28">
        <v>1431</v>
      </c>
      <c r="B117" s="28">
        <v>126835</v>
      </c>
      <c r="C117" s="129" t="s">
        <v>107</v>
      </c>
      <c r="D117" s="128" t="s">
        <v>123</v>
      </c>
      <c r="E117" s="128" t="s">
        <v>145</v>
      </c>
      <c r="F117" s="29">
        <v>31210</v>
      </c>
      <c r="G117" s="56" t="str">
        <f t="shared" ca="1" si="15"/>
        <v>V 35</v>
      </c>
      <c r="H117" s="28">
        <f t="shared" ca="1" si="16"/>
        <v>35</v>
      </c>
      <c r="J117" s="38" t="str">
        <f t="shared" si="10"/>
        <v>Décio Abreu</v>
      </c>
      <c r="K117" s="39">
        <f t="shared" si="11"/>
        <v>1431</v>
      </c>
      <c r="L117" s="39">
        <f t="shared" si="12"/>
        <v>126835</v>
      </c>
      <c r="M117" s="40">
        <f t="shared" si="17"/>
        <v>31210</v>
      </c>
      <c r="N117" s="41" t="str">
        <f t="shared" ca="1" si="18"/>
        <v>V 35</v>
      </c>
      <c r="O117" s="41" t="str">
        <f t="shared" si="13"/>
        <v>M</v>
      </c>
      <c r="P117" s="60" t="str">
        <f t="shared" si="14"/>
        <v>AJS</v>
      </c>
      <c r="Q117" s="61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3">
      <c r="A118" s="28">
        <v>1740</v>
      </c>
      <c r="B118" s="28">
        <v>140006</v>
      </c>
      <c r="C118" s="129" t="s">
        <v>454</v>
      </c>
      <c r="D118" s="128" t="s">
        <v>123</v>
      </c>
      <c r="E118" s="128" t="s">
        <v>145</v>
      </c>
      <c r="F118" s="29">
        <v>37474</v>
      </c>
      <c r="G118" s="56" t="str">
        <f t="shared" ca="1" si="15"/>
        <v>Júnior</v>
      </c>
      <c r="H118" s="28">
        <f t="shared" ca="1" si="16"/>
        <v>18</v>
      </c>
      <c r="J118" s="38" t="str">
        <f t="shared" si="10"/>
        <v>Eduardo Pestana</v>
      </c>
      <c r="K118" s="39">
        <f t="shared" si="11"/>
        <v>1740</v>
      </c>
      <c r="L118" s="39">
        <f t="shared" si="12"/>
        <v>140006</v>
      </c>
      <c r="M118" s="40">
        <f t="shared" si="17"/>
        <v>37474</v>
      </c>
      <c r="N118" s="41" t="str">
        <f t="shared" ca="1" si="18"/>
        <v>Júnior</v>
      </c>
      <c r="O118" s="41" t="str">
        <f t="shared" si="13"/>
        <v>M</v>
      </c>
      <c r="P118" s="60" t="str">
        <f t="shared" si="14"/>
        <v>AJS</v>
      </c>
      <c r="Q118" s="61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3">
      <c r="A119" s="28">
        <v>1451</v>
      </c>
      <c r="B119" s="28">
        <v>127052</v>
      </c>
      <c r="C119" s="129" t="s">
        <v>94</v>
      </c>
      <c r="D119" s="128" t="s">
        <v>123</v>
      </c>
      <c r="E119" s="128" t="s">
        <v>145</v>
      </c>
      <c r="F119" s="29">
        <v>34037</v>
      </c>
      <c r="G119" s="56" t="str">
        <f t="shared" ca="1" si="15"/>
        <v>Sénior</v>
      </c>
      <c r="H119" s="28">
        <f t="shared" ca="1" si="16"/>
        <v>28</v>
      </c>
      <c r="J119" s="38" t="str">
        <f t="shared" si="10"/>
        <v>Paulo Macedo</v>
      </c>
      <c r="K119" s="39">
        <f t="shared" si="11"/>
        <v>1451</v>
      </c>
      <c r="L119" s="39">
        <f t="shared" si="12"/>
        <v>127052</v>
      </c>
      <c r="M119" s="40">
        <f t="shared" si="17"/>
        <v>34037</v>
      </c>
      <c r="N119" s="41" t="str">
        <f t="shared" ca="1" si="18"/>
        <v>Sénior</v>
      </c>
      <c r="O119" s="41" t="str">
        <f t="shared" si="13"/>
        <v>M</v>
      </c>
      <c r="P119" s="60" t="str">
        <f t="shared" si="14"/>
        <v>AJS</v>
      </c>
      <c r="Q119" s="61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3">
      <c r="A120" s="28">
        <v>33</v>
      </c>
      <c r="B120" s="28">
        <v>124968</v>
      </c>
      <c r="C120" s="129" t="s">
        <v>112</v>
      </c>
      <c r="D120" s="128" t="s">
        <v>123</v>
      </c>
      <c r="E120" s="128" t="s">
        <v>146</v>
      </c>
      <c r="F120" s="29">
        <v>34220</v>
      </c>
      <c r="G120" s="56" t="str">
        <f t="shared" ca="1" si="15"/>
        <v>Sénior</v>
      </c>
      <c r="H120" s="28">
        <f t="shared" ca="1" si="16"/>
        <v>27</v>
      </c>
      <c r="J120" s="38" t="str">
        <f t="shared" si="10"/>
        <v>Joana Soares</v>
      </c>
      <c r="K120" s="39">
        <f t="shared" si="11"/>
        <v>33</v>
      </c>
      <c r="L120" s="39">
        <f t="shared" si="12"/>
        <v>124968</v>
      </c>
      <c r="M120" s="40">
        <f t="shared" si="17"/>
        <v>34220</v>
      </c>
      <c r="N120" s="41" t="str">
        <f t="shared" ca="1" si="18"/>
        <v>Sénior</v>
      </c>
      <c r="O120" s="41" t="str">
        <f t="shared" si="13"/>
        <v>F</v>
      </c>
      <c r="P120" s="60" t="str">
        <f t="shared" si="14"/>
        <v>AJS</v>
      </c>
      <c r="Q120" s="61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3">
      <c r="A121" s="28">
        <v>34</v>
      </c>
      <c r="B121" s="28">
        <v>124496</v>
      </c>
      <c r="C121" s="129" t="s">
        <v>133</v>
      </c>
      <c r="D121" s="128" t="s">
        <v>123</v>
      </c>
      <c r="E121" s="128" t="s">
        <v>146</v>
      </c>
      <c r="F121" s="29">
        <v>32700</v>
      </c>
      <c r="G121" s="56" t="str">
        <f t="shared" ca="1" si="15"/>
        <v>Sénior</v>
      </c>
      <c r="H121" s="28">
        <f t="shared" ca="1" si="16"/>
        <v>31</v>
      </c>
      <c r="J121" s="38" t="str">
        <f t="shared" si="10"/>
        <v>Adília Fernandes</v>
      </c>
      <c r="K121" s="39">
        <f t="shared" si="11"/>
        <v>34</v>
      </c>
      <c r="L121" s="39">
        <f t="shared" si="12"/>
        <v>124496</v>
      </c>
      <c r="M121" s="40">
        <f t="shared" si="17"/>
        <v>32700</v>
      </c>
      <c r="N121" s="41" t="str">
        <f t="shared" ca="1" si="18"/>
        <v>Sénior</v>
      </c>
      <c r="O121" s="41" t="str">
        <f t="shared" si="13"/>
        <v>F</v>
      </c>
      <c r="P121" s="60" t="str">
        <f t="shared" si="14"/>
        <v>AJS</v>
      </c>
      <c r="Q121" s="6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3">
      <c r="A122" s="28">
        <v>1403</v>
      </c>
      <c r="B122" s="28">
        <v>125758</v>
      </c>
      <c r="C122" s="129" t="s">
        <v>175</v>
      </c>
      <c r="D122" s="128" t="s">
        <v>123</v>
      </c>
      <c r="E122" s="128" t="s">
        <v>145</v>
      </c>
      <c r="F122" s="29">
        <v>24378</v>
      </c>
      <c r="G122" s="56" t="str">
        <f t="shared" ca="1" si="15"/>
        <v>V 50</v>
      </c>
      <c r="H122" s="28">
        <f t="shared" ca="1" si="16"/>
        <v>54</v>
      </c>
      <c r="J122" s="38" t="str">
        <f t="shared" si="10"/>
        <v>José Ornelas</v>
      </c>
      <c r="K122" s="39">
        <f t="shared" si="11"/>
        <v>1403</v>
      </c>
      <c r="L122" s="39">
        <f t="shared" si="12"/>
        <v>125758</v>
      </c>
      <c r="M122" s="40">
        <f t="shared" si="17"/>
        <v>24378</v>
      </c>
      <c r="N122" s="41" t="str">
        <f t="shared" ca="1" si="18"/>
        <v>V 50</v>
      </c>
      <c r="O122" s="41" t="str">
        <f t="shared" si="13"/>
        <v>M</v>
      </c>
      <c r="P122" s="60" t="str">
        <f t="shared" si="14"/>
        <v>AJS</v>
      </c>
      <c r="Q122" s="61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3">
      <c r="A123" s="28">
        <v>1419</v>
      </c>
      <c r="B123" s="28">
        <v>137631</v>
      </c>
      <c r="C123" s="129" t="s">
        <v>520</v>
      </c>
      <c r="D123" s="128" t="s">
        <v>123</v>
      </c>
      <c r="E123" s="128" t="s">
        <v>145</v>
      </c>
      <c r="F123" s="29">
        <v>27774</v>
      </c>
      <c r="G123" s="56" t="str">
        <f t="shared" ca="1" si="15"/>
        <v>V 45</v>
      </c>
      <c r="H123" s="28">
        <f t="shared" ca="1" si="16"/>
        <v>45</v>
      </c>
      <c r="J123" s="38" t="str">
        <f t="shared" si="10"/>
        <v>Pedro M. Pinto</v>
      </c>
      <c r="K123" s="39">
        <f t="shared" si="11"/>
        <v>1419</v>
      </c>
      <c r="L123" s="39">
        <f t="shared" si="12"/>
        <v>137631</v>
      </c>
      <c r="M123" s="40">
        <f t="shared" si="17"/>
        <v>27774</v>
      </c>
      <c r="N123" s="41" t="str">
        <f t="shared" ca="1" si="18"/>
        <v>V 45</v>
      </c>
      <c r="O123" s="41" t="str">
        <f t="shared" si="13"/>
        <v>M</v>
      </c>
      <c r="P123" s="60" t="str">
        <f t="shared" si="14"/>
        <v>AJS</v>
      </c>
      <c r="Q123" s="61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3">
      <c r="A124" s="28">
        <v>49</v>
      </c>
      <c r="B124" s="28">
        <v>124566</v>
      </c>
      <c r="C124" s="129" t="s">
        <v>98</v>
      </c>
      <c r="D124" s="128" t="s">
        <v>123</v>
      </c>
      <c r="E124" s="128" t="s">
        <v>146</v>
      </c>
      <c r="F124" s="29">
        <v>30408</v>
      </c>
      <c r="G124" s="56" t="str">
        <f t="shared" ca="1" si="15"/>
        <v>V 35</v>
      </c>
      <c r="H124" s="28">
        <f t="shared" ca="1" si="16"/>
        <v>38</v>
      </c>
      <c r="J124" s="38" t="str">
        <f t="shared" si="10"/>
        <v>Andreia Freitas</v>
      </c>
      <c r="K124" s="39">
        <f t="shared" si="11"/>
        <v>49</v>
      </c>
      <c r="L124" s="39">
        <f t="shared" si="12"/>
        <v>124566</v>
      </c>
      <c r="M124" s="40">
        <f t="shared" si="17"/>
        <v>30408</v>
      </c>
      <c r="N124" s="41" t="str">
        <f t="shared" ca="1" si="18"/>
        <v>V 35</v>
      </c>
      <c r="O124" s="41" t="str">
        <f t="shared" si="13"/>
        <v>F</v>
      </c>
      <c r="P124" s="60" t="str">
        <f t="shared" si="14"/>
        <v>AJS</v>
      </c>
      <c r="Q124" s="61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3">
      <c r="A125" s="28">
        <v>1753</v>
      </c>
      <c r="B125" s="28">
        <v>125139</v>
      </c>
      <c r="C125" s="129" t="s">
        <v>138</v>
      </c>
      <c r="D125" s="128" t="s">
        <v>123</v>
      </c>
      <c r="E125" s="128" t="s">
        <v>146</v>
      </c>
      <c r="F125" s="29">
        <v>38864</v>
      </c>
      <c r="G125" s="56" t="str">
        <f t="shared" ca="1" si="15"/>
        <v>Iniciado</v>
      </c>
      <c r="H125" s="28">
        <f t="shared" ca="1" si="16"/>
        <v>14</v>
      </c>
      <c r="J125" s="38" t="str">
        <f t="shared" si="10"/>
        <v>Luísa Pinto</v>
      </c>
      <c r="K125" s="39">
        <f t="shared" si="11"/>
        <v>1753</v>
      </c>
      <c r="L125" s="39">
        <f t="shared" si="12"/>
        <v>125139</v>
      </c>
      <c r="M125" s="40">
        <f t="shared" si="17"/>
        <v>38864</v>
      </c>
      <c r="N125" s="41" t="str">
        <f t="shared" ca="1" si="18"/>
        <v>Iniciado</v>
      </c>
      <c r="O125" s="41" t="str">
        <f t="shared" si="13"/>
        <v>F</v>
      </c>
      <c r="P125" s="60" t="str">
        <f t="shared" si="14"/>
        <v>AJS</v>
      </c>
      <c r="Q125" s="61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3">
      <c r="A126" s="28">
        <v>1435</v>
      </c>
      <c r="B126" s="28">
        <v>150125</v>
      </c>
      <c r="C126" s="129" t="s">
        <v>791</v>
      </c>
      <c r="D126" s="128" t="s">
        <v>123</v>
      </c>
      <c r="E126" s="128" t="s">
        <v>145</v>
      </c>
      <c r="F126" s="29">
        <v>37237</v>
      </c>
      <c r="G126" s="56" t="str">
        <f t="shared" ca="1" si="15"/>
        <v>sub 23</v>
      </c>
      <c r="H126" s="28">
        <f t="shared" ca="1" si="16"/>
        <v>19</v>
      </c>
      <c r="J126" s="38" t="str">
        <f t="shared" si="10"/>
        <v>João H. Reis</v>
      </c>
      <c r="K126" s="39">
        <f t="shared" si="11"/>
        <v>1435</v>
      </c>
      <c r="L126" s="39">
        <f t="shared" si="12"/>
        <v>150125</v>
      </c>
      <c r="M126" s="40">
        <f t="shared" si="17"/>
        <v>37237</v>
      </c>
      <c r="N126" s="41" t="str">
        <f t="shared" ca="1" si="18"/>
        <v>sub 23</v>
      </c>
      <c r="O126" s="41" t="str">
        <f t="shared" si="13"/>
        <v>M</v>
      </c>
      <c r="P126" s="60" t="str">
        <f t="shared" si="14"/>
        <v>AJS</v>
      </c>
      <c r="Q126" s="61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3">
      <c r="A127" s="28">
        <v>35</v>
      </c>
      <c r="B127" s="28">
        <v>125076</v>
      </c>
      <c r="C127" s="129" t="s">
        <v>104</v>
      </c>
      <c r="D127" s="128" t="s">
        <v>123</v>
      </c>
      <c r="E127" s="128" t="s">
        <v>146</v>
      </c>
      <c r="F127" s="29">
        <v>35516</v>
      </c>
      <c r="G127" s="56" t="str">
        <f t="shared" ca="1" si="15"/>
        <v>Sénior</v>
      </c>
      <c r="H127" s="28">
        <f t="shared" ca="1" si="16"/>
        <v>24</v>
      </c>
      <c r="J127" s="38" t="str">
        <f t="shared" si="10"/>
        <v>Cláudia Fernandes</v>
      </c>
      <c r="K127" s="39">
        <f t="shared" si="11"/>
        <v>35</v>
      </c>
      <c r="L127" s="39">
        <f t="shared" si="12"/>
        <v>125076</v>
      </c>
      <c r="M127" s="40">
        <f t="shared" si="17"/>
        <v>35516</v>
      </c>
      <c r="N127" s="41" t="str">
        <f t="shared" ca="1" si="18"/>
        <v>Sénior</v>
      </c>
      <c r="O127" s="41" t="str">
        <f t="shared" si="13"/>
        <v>F</v>
      </c>
      <c r="P127" s="60" t="str">
        <f t="shared" si="14"/>
        <v>AJS</v>
      </c>
      <c r="Q127" s="61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3">
      <c r="A128" s="28">
        <v>36</v>
      </c>
      <c r="B128" s="28">
        <v>124822</v>
      </c>
      <c r="C128" s="129" t="s">
        <v>111</v>
      </c>
      <c r="D128" s="128" t="s">
        <v>123</v>
      </c>
      <c r="E128" s="128" t="s">
        <v>146</v>
      </c>
      <c r="F128" s="29">
        <v>34798</v>
      </c>
      <c r="G128" s="56" t="str">
        <f t="shared" ca="1" si="15"/>
        <v>Sénior</v>
      </c>
      <c r="H128" s="28">
        <f t="shared" ca="1" si="16"/>
        <v>26</v>
      </c>
      <c r="J128" s="38" t="str">
        <f t="shared" si="10"/>
        <v>Joana J. Pinto</v>
      </c>
      <c r="K128" s="39">
        <f t="shared" si="11"/>
        <v>36</v>
      </c>
      <c r="L128" s="39">
        <f t="shared" si="12"/>
        <v>124822</v>
      </c>
      <c r="M128" s="40">
        <f t="shared" si="17"/>
        <v>34798</v>
      </c>
      <c r="N128" s="41" t="str">
        <f t="shared" ca="1" si="18"/>
        <v>Sénior</v>
      </c>
      <c r="O128" s="41" t="str">
        <f t="shared" si="13"/>
        <v>F</v>
      </c>
      <c r="P128" s="60" t="str">
        <f t="shared" si="14"/>
        <v>AJS</v>
      </c>
      <c r="Q128" s="61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3">
      <c r="A129" s="28">
        <v>1754</v>
      </c>
      <c r="B129" s="28">
        <v>155458</v>
      </c>
      <c r="C129" s="129" t="s">
        <v>1035</v>
      </c>
      <c r="D129" s="128" t="s">
        <v>123</v>
      </c>
      <c r="E129" s="128" t="s">
        <v>146</v>
      </c>
      <c r="F129" s="29">
        <v>38861</v>
      </c>
      <c r="G129" s="56" t="str">
        <f t="shared" ca="1" si="15"/>
        <v>Iniciado</v>
      </c>
      <c r="H129" s="28">
        <f t="shared" ca="1" si="16"/>
        <v>14</v>
      </c>
      <c r="J129" s="38" t="str">
        <f t="shared" si="10"/>
        <v>Magda Dias</v>
      </c>
      <c r="K129" s="39">
        <f t="shared" si="11"/>
        <v>1754</v>
      </c>
      <c r="L129" s="39">
        <f t="shared" si="12"/>
        <v>155458</v>
      </c>
      <c r="M129" s="40">
        <f t="shared" si="17"/>
        <v>38861</v>
      </c>
      <c r="N129" s="41" t="str">
        <f t="shared" ca="1" si="18"/>
        <v>Iniciado</v>
      </c>
      <c r="O129" s="41" t="str">
        <f t="shared" si="13"/>
        <v>F</v>
      </c>
      <c r="P129" s="60" t="str">
        <f t="shared" si="14"/>
        <v>AJS</v>
      </c>
      <c r="Q129" s="61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3">
      <c r="A130" s="28">
        <v>43</v>
      </c>
      <c r="B130" s="28">
        <v>123990</v>
      </c>
      <c r="C130" s="129" t="s">
        <v>836</v>
      </c>
      <c r="D130" s="128" t="s">
        <v>123</v>
      </c>
      <c r="E130" s="128" t="s">
        <v>146</v>
      </c>
      <c r="F130" s="29">
        <v>37142</v>
      </c>
      <c r="G130" s="56" t="str">
        <f t="shared" ca="1" si="15"/>
        <v>sub 23</v>
      </c>
      <c r="H130" s="28">
        <f t="shared" ca="1" si="16"/>
        <v>19</v>
      </c>
      <c r="J130" s="38" t="str">
        <f t="shared" ref="J130:J193" si="19">C130</f>
        <v>Ana Leite</v>
      </c>
      <c r="K130" s="39">
        <f t="shared" ref="K130:K193" si="20">A130</f>
        <v>43</v>
      </c>
      <c r="L130" s="39">
        <f t="shared" ref="L130:L193" si="21">B130</f>
        <v>123990</v>
      </c>
      <c r="M130" s="40">
        <f t="shared" si="17"/>
        <v>37142</v>
      </c>
      <c r="N130" s="41" t="str">
        <f t="shared" ca="1" si="18"/>
        <v>sub 23</v>
      </c>
      <c r="O130" s="41" t="str">
        <f t="shared" ref="O130:O193" si="22">E130</f>
        <v>F</v>
      </c>
      <c r="P130" s="60" t="str">
        <f t="shared" ref="P130:P193" si="23">D130</f>
        <v>AJS</v>
      </c>
      <c r="Q130" s="61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3">
      <c r="A131" s="28">
        <v>37</v>
      </c>
      <c r="B131" s="28">
        <v>124196</v>
      </c>
      <c r="C131" s="129" t="s">
        <v>116</v>
      </c>
      <c r="D131" s="128" t="s">
        <v>123</v>
      </c>
      <c r="E131" s="128" t="s">
        <v>146</v>
      </c>
      <c r="F131" s="29">
        <v>35752</v>
      </c>
      <c r="G131" s="5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B",IF(YEAR(TODAY())-YEAR(F131)&lt;14,"Infantil",IF(YEAR(TODAY())-YEAR(F131)&lt;16,"Iniciado",IF(YEAR(TODAY())-YEAR(F131)&lt;18,"Juvenil",IF(YEAR(TODAY())-YEAR(F131)&lt;20,"Júnior",IF(YEAR(TODAY())-YEAR(F131)&lt;23,"sub 23",IF(ROUNDDOWN(INT(TODAY()-F131)/365.25,0)&lt;35,"Sénior",IF(ROUNDDOWN(INT(TODAY()-F131)/365.25,0)&lt;40,"V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65",IF(ROUNDDOWN(INT(TODAY()-F131)/365.25,0)&lt;75,"V 70",IF(ROUNDDOWN(INT(TODAY()-F131)/365.25,0)&lt;80,"V 75",IF(ROUNDDOWN(INT(TODAY()-F131)/365.25,0)&lt;85,"V 80",IF(ROUNDDOWN(INT(TODAY()-F131)/365.25,0)&lt;90,"V 85",IF(ROUNDDOWN(INT(TODAY()-F131)/365.25,0)&lt;95,"V 90",IF(ROUNDDOWN(INT(TODAY()-F131)/365.25,0)&lt;100,"V 95",IF(ROUNDDOWN(INT(TODAY()-F131)/365.25,0)&gt;=100,"V 100",""))))))))))))))))))))))),"")</f>
        <v>Sénior</v>
      </c>
      <c r="H131" s="28">
        <f t="shared" ref="H131:H194" ca="1" si="25">IFERROR(IF($A131&gt;0,ROUNDDOWN(INT(TODAY()-F131)/365.25,0),""),"")</f>
        <v>23</v>
      </c>
      <c r="J131" s="38" t="str">
        <f t="shared" si="19"/>
        <v>Lúcia Santos</v>
      </c>
      <c r="K131" s="39">
        <f t="shared" si="20"/>
        <v>37</v>
      </c>
      <c r="L131" s="39">
        <f t="shared" si="21"/>
        <v>124196</v>
      </c>
      <c r="M131" s="40">
        <f t="shared" ref="M131:M194" si="26">F131</f>
        <v>35752</v>
      </c>
      <c r="N131" s="41" t="str">
        <f t="shared" ref="N131:N194" ca="1" si="27">G131</f>
        <v>Sénior</v>
      </c>
      <c r="O131" s="41" t="str">
        <f t="shared" si="22"/>
        <v>F</v>
      </c>
      <c r="P131" s="60" t="str">
        <f t="shared" si="23"/>
        <v>AJS</v>
      </c>
      <c r="Q131" s="6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3">
      <c r="A132" s="28">
        <v>1755</v>
      </c>
      <c r="B132" s="28">
        <v>153127</v>
      </c>
      <c r="C132" s="129" t="s">
        <v>906</v>
      </c>
      <c r="D132" s="128" t="s">
        <v>123</v>
      </c>
      <c r="E132" s="128" t="s">
        <v>146</v>
      </c>
      <c r="F132" s="29">
        <v>39037</v>
      </c>
      <c r="G132" s="56" t="str">
        <f t="shared" ca="1" si="24"/>
        <v>Iniciado</v>
      </c>
      <c r="H132" s="28">
        <f t="shared" ca="1" si="25"/>
        <v>14</v>
      </c>
      <c r="J132" s="38" t="str">
        <f t="shared" si="19"/>
        <v>Eliana S. Fernandes</v>
      </c>
      <c r="K132" s="39">
        <f t="shared" si="20"/>
        <v>1755</v>
      </c>
      <c r="L132" s="39">
        <f t="shared" si="21"/>
        <v>153127</v>
      </c>
      <c r="M132" s="40">
        <f t="shared" si="26"/>
        <v>39037</v>
      </c>
      <c r="N132" s="41" t="str">
        <f t="shared" ca="1" si="27"/>
        <v>Iniciado</v>
      </c>
      <c r="O132" s="41" t="str">
        <f t="shared" si="22"/>
        <v>F</v>
      </c>
      <c r="P132" s="60" t="str">
        <f t="shared" si="23"/>
        <v>AJS</v>
      </c>
      <c r="Q132" s="61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3">
      <c r="A133" s="28">
        <v>1739</v>
      </c>
      <c r="B133" s="28">
        <v>129985</v>
      </c>
      <c r="C133" s="129" t="s">
        <v>135</v>
      </c>
      <c r="D133" s="128" t="s">
        <v>123</v>
      </c>
      <c r="E133" s="128" t="s">
        <v>145</v>
      </c>
      <c r="F133" s="29">
        <v>37923</v>
      </c>
      <c r="G133" s="56" t="str">
        <f t="shared" ca="1" si="24"/>
        <v>Júnior</v>
      </c>
      <c r="H133" s="28">
        <f t="shared" ca="1" si="25"/>
        <v>17</v>
      </c>
      <c r="J133" s="38" t="str">
        <f t="shared" si="19"/>
        <v>Bruno Faria</v>
      </c>
      <c r="K133" s="39">
        <f t="shared" si="20"/>
        <v>1739</v>
      </c>
      <c r="L133" s="39">
        <f t="shared" si="21"/>
        <v>129985</v>
      </c>
      <c r="M133" s="40">
        <f t="shared" si="26"/>
        <v>37923</v>
      </c>
      <c r="N133" s="41" t="str">
        <f t="shared" ca="1" si="27"/>
        <v>Júnior</v>
      </c>
      <c r="O133" s="41" t="str">
        <f t="shared" si="22"/>
        <v>M</v>
      </c>
      <c r="P133" s="60" t="str">
        <f t="shared" si="23"/>
        <v>AJS</v>
      </c>
      <c r="Q133" s="61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3">
      <c r="A134" s="28">
        <v>1430</v>
      </c>
      <c r="B134" s="28">
        <v>146235</v>
      </c>
      <c r="C134" s="129" t="s">
        <v>1078</v>
      </c>
      <c r="D134" s="128" t="s">
        <v>123</v>
      </c>
      <c r="E134" s="128" t="s">
        <v>145</v>
      </c>
      <c r="F134" s="29">
        <v>31234</v>
      </c>
      <c r="G134" s="56" t="str">
        <f t="shared" ca="1" si="24"/>
        <v>V 35</v>
      </c>
      <c r="H134" s="28">
        <f t="shared" ca="1" si="25"/>
        <v>35</v>
      </c>
      <c r="J134" s="38" t="str">
        <f t="shared" si="19"/>
        <v>Ricardo G Fernandes</v>
      </c>
      <c r="K134" s="39">
        <f t="shared" si="20"/>
        <v>1430</v>
      </c>
      <c r="L134" s="39">
        <f t="shared" si="21"/>
        <v>146235</v>
      </c>
      <c r="M134" s="40">
        <f t="shared" si="26"/>
        <v>31234</v>
      </c>
      <c r="N134" s="41" t="str">
        <f t="shared" ca="1" si="27"/>
        <v>V 35</v>
      </c>
      <c r="O134" s="41" t="str">
        <f t="shared" si="22"/>
        <v>M</v>
      </c>
      <c r="P134" s="60" t="str">
        <f t="shared" si="23"/>
        <v>AJS</v>
      </c>
      <c r="Q134" s="61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3">
      <c r="A135" s="28">
        <v>1450</v>
      </c>
      <c r="B135" s="28">
        <v>153583</v>
      </c>
      <c r="C135" s="129" t="s">
        <v>844</v>
      </c>
      <c r="D135" s="128" t="s">
        <v>123</v>
      </c>
      <c r="E135" s="128" t="s">
        <v>145</v>
      </c>
      <c r="F135" s="29">
        <v>33130</v>
      </c>
      <c r="G135" s="56" t="str">
        <f t="shared" ca="1" si="24"/>
        <v>Sénior</v>
      </c>
      <c r="H135" s="28">
        <f t="shared" ca="1" si="25"/>
        <v>30</v>
      </c>
      <c r="J135" s="38" t="str">
        <f t="shared" si="19"/>
        <v>Rafael C. Gouveia</v>
      </c>
      <c r="K135" s="39">
        <f t="shared" si="20"/>
        <v>1450</v>
      </c>
      <c r="L135" s="39">
        <f t="shared" si="21"/>
        <v>153583</v>
      </c>
      <c r="M135" s="40">
        <f t="shared" si="26"/>
        <v>33130</v>
      </c>
      <c r="N135" s="41" t="str">
        <f t="shared" ca="1" si="27"/>
        <v>Sénior</v>
      </c>
      <c r="O135" s="41" t="str">
        <f t="shared" si="22"/>
        <v>M</v>
      </c>
      <c r="P135" s="60" t="str">
        <f t="shared" si="23"/>
        <v>AJS</v>
      </c>
      <c r="Q135" s="61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3">
      <c r="A136" s="28">
        <v>1410</v>
      </c>
      <c r="B136" s="28">
        <v>140513</v>
      </c>
      <c r="C136" s="129" t="s">
        <v>456</v>
      </c>
      <c r="D136" s="128" t="s">
        <v>123</v>
      </c>
      <c r="E136" s="128" t="s">
        <v>145</v>
      </c>
      <c r="F136" s="29">
        <v>27245</v>
      </c>
      <c r="G136" s="56" t="str">
        <f t="shared" ca="1" si="24"/>
        <v>V 45</v>
      </c>
      <c r="H136" s="28">
        <f t="shared" ca="1" si="25"/>
        <v>46</v>
      </c>
      <c r="J136" s="38" t="str">
        <f t="shared" si="19"/>
        <v>Joaquim Sousa</v>
      </c>
      <c r="K136" s="39">
        <f t="shared" si="20"/>
        <v>1410</v>
      </c>
      <c r="L136" s="39">
        <f t="shared" si="21"/>
        <v>140513</v>
      </c>
      <c r="M136" s="40">
        <f t="shared" si="26"/>
        <v>27245</v>
      </c>
      <c r="N136" s="41" t="str">
        <f t="shared" ca="1" si="27"/>
        <v>V 45</v>
      </c>
      <c r="O136" s="41" t="str">
        <f t="shared" si="22"/>
        <v>M</v>
      </c>
      <c r="P136" s="60" t="str">
        <f t="shared" si="23"/>
        <v>AJS</v>
      </c>
      <c r="Q136" s="61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3">
      <c r="A137" s="28">
        <v>50</v>
      </c>
      <c r="B137" s="28">
        <v>143920</v>
      </c>
      <c r="C137" s="129" t="s">
        <v>563</v>
      </c>
      <c r="D137" s="128" t="s">
        <v>123</v>
      </c>
      <c r="E137" s="128" t="s">
        <v>146</v>
      </c>
      <c r="F137" s="29">
        <v>31306</v>
      </c>
      <c r="G137" s="56" t="str">
        <f t="shared" ca="1" si="24"/>
        <v>V 35</v>
      </c>
      <c r="H137" s="28">
        <f t="shared" ca="1" si="25"/>
        <v>35</v>
      </c>
      <c r="J137" s="38" t="str">
        <f t="shared" si="19"/>
        <v>Énia Carmo</v>
      </c>
      <c r="K137" s="39">
        <f t="shared" si="20"/>
        <v>50</v>
      </c>
      <c r="L137" s="39">
        <f t="shared" si="21"/>
        <v>143920</v>
      </c>
      <c r="M137" s="40">
        <f t="shared" si="26"/>
        <v>31306</v>
      </c>
      <c r="N137" s="41" t="str">
        <f t="shared" ca="1" si="27"/>
        <v>V 35</v>
      </c>
      <c r="O137" s="41" t="str">
        <f t="shared" si="22"/>
        <v>F</v>
      </c>
      <c r="P137" s="60" t="str">
        <f t="shared" si="23"/>
        <v>AJS</v>
      </c>
      <c r="Q137" s="61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3">
      <c r="A138" s="28">
        <v>925</v>
      </c>
      <c r="B138" s="28">
        <v>158643</v>
      </c>
      <c r="C138" s="129" t="s">
        <v>1228</v>
      </c>
      <c r="D138" s="128" t="s">
        <v>1242</v>
      </c>
      <c r="E138" s="128" t="s">
        <v>145</v>
      </c>
      <c r="F138" s="29">
        <v>35856</v>
      </c>
      <c r="G138" s="56" t="str">
        <f t="shared" ca="1" si="24"/>
        <v>Sénior</v>
      </c>
      <c r="H138" s="28">
        <f t="shared" ca="1" si="25"/>
        <v>23</v>
      </c>
      <c r="J138" s="38" t="str">
        <f t="shared" si="19"/>
        <v>Fabiano Abreu</v>
      </c>
      <c r="K138" s="39">
        <f t="shared" si="20"/>
        <v>925</v>
      </c>
      <c r="L138" s="39">
        <f t="shared" si="21"/>
        <v>158643</v>
      </c>
      <c r="M138" s="40">
        <f t="shared" si="26"/>
        <v>35856</v>
      </c>
      <c r="N138" s="41" t="str">
        <f t="shared" ca="1" si="27"/>
        <v>Sénior</v>
      </c>
      <c r="O138" s="41" t="str">
        <f t="shared" si="22"/>
        <v>M</v>
      </c>
      <c r="P138" s="60" t="str">
        <f t="shared" si="23"/>
        <v>R-TRM</v>
      </c>
      <c r="Q138" s="61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3">
      <c r="A139" s="28">
        <v>917</v>
      </c>
      <c r="B139" s="28">
        <v>158115</v>
      </c>
      <c r="C139" s="129" t="s">
        <v>1229</v>
      </c>
      <c r="D139" s="128" t="s">
        <v>1242</v>
      </c>
      <c r="E139" s="128" t="s">
        <v>145</v>
      </c>
      <c r="F139" s="29">
        <v>20624</v>
      </c>
      <c r="G139" s="56" t="str">
        <f t="shared" ca="1" si="24"/>
        <v>V 60</v>
      </c>
      <c r="H139" s="28">
        <f t="shared" ca="1" si="25"/>
        <v>64</v>
      </c>
      <c r="J139" s="38" t="str">
        <f t="shared" si="19"/>
        <v>Fernando Lopes</v>
      </c>
      <c r="K139" s="39">
        <f t="shared" si="20"/>
        <v>917</v>
      </c>
      <c r="L139" s="39">
        <f t="shared" si="21"/>
        <v>158115</v>
      </c>
      <c r="M139" s="40">
        <f t="shared" si="26"/>
        <v>20624</v>
      </c>
      <c r="N139" s="41" t="str">
        <f t="shared" ca="1" si="27"/>
        <v>V 60</v>
      </c>
      <c r="O139" s="41" t="str">
        <f t="shared" si="22"/>
        <v>M</v>
      </c>
      <c r="P139" s="60" t="str">
        <f t="shared" si="23"/>
        <v>R-TRM</v>
      </c>
      <c r="Q139" s="61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3">
      <c r="A140" s="28">
        <v>920</v>
      </c>
      <c r="B140" s="28">
        <v>158285</v>
      </c>
      <c r="C140" s="129" t="s">
        <v>1230</v>
      </c>
      <c r="D140" s="128" t="s">
        <v>1242</v>
      </c>
      <c r="E140" s="128" t="s">
        <v>145</v>
      </c>
      <c r="F140" s="29">
        <v>25044</v>
      </c>
      <c r="G140" s="56" t="str">
        <f t="shared" ca="1" si="24"/>
        <v>V 50</v>
      </c>
      <c r="H140" s="28">
        <f t="shared" ca="1" si="25"/>
        <v>52</v>
      </c>
      <c r="J140" s="38" t="str">
        <f t="shared" si="19"/>
        <v>José T. Correia</v>
      </c>
      <c r="K140" s="39">
        <f t="shared" si="20"/>
        <v>920</v>
      </c>
      <c r="L140" s="39">
        <f t="shared" si="21"/>
        <v>158285</v>
      </c>
      <c r="M140" s="40">
        <f t="shared" si="26"/>
        <v>25044</v>
      </c>
      <c r="N140" s="41" t="str">
        <f t="shared" ca="1" si="27"/>
        <v>V 50</v>
      </c>
      <c r="O140" s="41" t="str">
        <f t="shared" si="22"/>
        <v>M</v>
      </c>
      <c r="P140" s="60" t="str">
        <f t="shared" si="23"/>
        <v>R-TRM</v>
      </c>
      <c r="Q140" s="61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3">
      <c r="A141" s="28">
        <v>923</v>
      </c>
      <c r="B141" s="28">
        <v>158114</v>
      </c>
      <c r="C141" s="129" t="s">
        <v>1231</v>
      </c>
      <c r="D141" s="128" t="s">
        <v>1242</v>
      </c>
      <c r="E141" s="128" t="s">
        <v>145</v>
      </c>
      <c r="F141" s="29">
        <v>29130</v>
      </c>
      <c r="G141" s="56" t="str">
        <f t="shared" ca="1" si="24"/>
        <v>V 40</v>
      </c>
      <c r="H141" s="28">
        <f t="shared" ca="1" si="25"/>
        <v>41</v>
      </c>
      <c r="J141" s="38" t="str">
        <f t="shared" si="19"/>
        <v>Sérgio A. Jesus</v>
      </c>
      <c r="K141" s="39">
        <f t="shared" si="20"/>
        <v>923</v>
      </c>
      <c r="L141" s="39">
        <f t="shared" si="21"/>
        <v>158114</v>
      </c>
      <c r="M141" s="40">
        <f t="shared" si="26"/>
        <v>29130</v>
      </c>
      <c r="N141" s="41" t="str">
        <f t="shared" ca="1" si="27"/>
        <v>V 40</v>
      </c>
      <c r="O141" s="41" t="str">
        <f t="shared" si="22"/>
        <v>M</v>
      </c>
      <c r="P141" s="60" t="str">
        <f t="shared" si="23"/>
        <v>R-TRM</v>
      </c>
      <c r="Q141" s="6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3">
      <c r="A142" s="28">
        <v>918</v>
      </c>
      <c r="B142" s="28">
        <v>158078</v>
      </c>
      <c r="C142" s="129" t="s">
        <v>1232</v>
      </c>
      <c r="D142" s="128" t="s">
        <v>1242</v>
      </c>
      <c r="E142" s="128" t="s">
        <v>145</v>
      </c>
      <c r="F142" s="29">
        <v>23802</v>
      </c>
      <c r="G142" s="56" t="str">
        <f t="shared" ca="1" si="24"/>
        <v>V 55</v>
      </c>
      <c r="H142" s="28">
        <f t="shared" ca="1" si="25"/>
        <v>56</v>
      </c>
      <c r="I142" s="34"/>
      <c r="J142" s="38" t="str">
        <f t="shared" si="19"/>
        <v>José Freitas</v>
      </c>
      <c r="K142" s="39">
        <f t="shared" si="20"/>
        <v>918</v>
      </c>
      <c r="L142" s="39">
        <f t="shared" si="21"/>
        <v>158078</v>
      </c>
      <c r="M142" s="40">
        <f t="shared" si="26"/>
        <v>23802</v>
      </c>
      <c r="N142" s="41" t="str">
        <f t="shared" ca="1" si="27"/>
        <v>V 55</v>
      </c>
      <c r="O142" s="41" t="str">
        <f t="shared" si="22"/>
        <v>M</v>
      </c>
      <c r="P142" s="60" t="str">
        <f t="shared" si="23"/>
        <v>R-TRM</v>
      </c>
      <c r="Q142" s="61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3">
      <c r="A143" s="28">
        <v>924</v>
      </c>
      <c r="B143" s="28">
        <v>158438</v>
      </c>
      <c r="C143" s="129" t="s">
        <v>1233</v>
      </c>
      <c r="D143" s="128" t="s">
        <v>1242</v>
      </c>
      <c r="E143" s="128" t="s">
        <v>145</v>
      </c>
      <c r="F143" s="29">
        <v>29858</v>
      </c>
      <c r="G143" s="56" t="str">
        <f t="shared" ca="1" si="24"/>
        <v>V 35</v>
      </c>
      <c r="H143" s="28">
        <f t="shared" ca="1" si="25"/>
        <v>39</v>
      </c>
      <c r="J143" s="38" t="str">
        <f t="shared" si="19"/>
        <v>José Sá</v>
      </c>
      <c r="K143" s="39">
        <f t="shared" si="20"/>
        <v>924</v>
      </c>
      <c r="L143" s="39">
        <f t="shared" si="21"/>
        <v>158438</v>
      </c>
      <c r="M143" s="40">
        <f t="shared" si="26"/>
        <v>29858</v>
      </c>
      <c r="N143" s="41" t="str">
        <f t="shared" ca="1" si="27"/>
        <v>V 35</v>
      </c>
      <c r="O143" s="41" t="str">
        <f t="shared" si="22"/>
        <v>M</v>
      </c>
      <c r="P143" s="60" t="str">
        <f t="shared" si="23"/>
        <v>R-TRM</v>
      </c>
      <c r="Q143" s="61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3">
      <c r="A144" s="28">
        <v>922</v>
      </c>
      <c r="B144" s="28">
        <v>158149</v>
      </c>
      <c r="C144" s="129" t="s">
        <v>1234</v>
      </c>
      <c r="D144" s="128" t="s">
        <v>1242</v>
      </c>
      <c r="E144" s="128" t="s">
        <v>145</v>
      </c>
      <c r="F144" s="29">
        <v>27899</v>
      </c>
      <c r="G144" s="56" t="str">
        <f t="shared" ca="1" si="24"/>
        <v>V 40</v>
      </c>
      <c r="H144" s="28">
        <f t="shared" ca="1" si="25"/>
        <v>44</v>
      </c>
      <c r="J144" s="38" t="str">
        <f t="shared" si="19"/>
        <v>Olípio Barros</v>
      </c>
      <c r="K144" s="39">
        <f t="shared" si="20"/>
        <v>922</v>
      </c>
      <c r="L144" s="39">
        <f t="shared" si="21"/>
        <v>158149</v>
      </c>
      <c r="M144" s="40">
        <f t="shared" si="26"/>
        <v>27899</v>
      </c>
      <c r="N144" s="41" t="str">
        <f t="shared" ca="1" si="27"/>
        <v>V 40</v>
      </c>
      <c r="O144" s="41" t="str">
        <f t="shared" si="22"/>
        <v>M</v>
      </c>
      <c r="P144" s="60" t="str">
        <f t="shared" si="23"/>
        <v>R-TRM</v>
      </c>
      <c r="Q144" s="61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3">
      <c r="A145" s="28">
        <v>919</v>
      </c>
      <c r="B145" s="28">
        <v>156678</v>
      </c>
      <c r="C145" s="129" t="s">
        <v>1060</v>
      </c>
      <c r="D145" s="128" t="s">
        <v>1242</v>
      </c>
      <c r="E145" s="128" t="s">
        <v>145</v>
      </c>
      <c r="F145" s="29">
        <v>25552</v>
      </c>
      <c r="G145" s="56" t="str">
        <f t="shared" ca="1" si="24"/>
        <v>V 50</v>
      </c>
      <c r="H145" s="28">
        <f t="shared" ca="1" si="25"/>
        <v>51</v>
      </c>
      <c r="J145" s="38" t="str">
        <f t="shared" si="19"/>
        <v>Amândio Correia</v>
      </c>
      <c r="K145" s="39">
        <f t="shared" si="20"/>
        <v>919</v>
      </c>
      <c r="L145" s="39">
        <f t="shared" si="21"/>
        <v>156678</v>
      </c>
      <c r="M145" s="40">
        <f t="shared" si="26"/>
        <v>25552</v>
      </c>
      <c r="N145" s="41" t="str">
        <f t="shared" ca="1" si="27"/>
        <v>V 50</v>
      </c>
      <c r="O145" s="41" t="str">
        <f t="shared" si="22"/>
        <v>M</v>
      </c>
      <c r="P145" s="60" t="str">
        <f t="shared" si="23"/>
        <v>R-TRM</v>
      </c>
      <c r="Q145" s="61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3">
      <c r="A146" s="28">
        <v>921</v>
      </c>
      <c r="B146" s="28">
        <v>163166</v>
      </c>
      <c r="C146" s="129" t="s">
        <v>1415</v>
      </c>
      <c r="D146" s="128" t="s">
        <v>1242</v>
      </c>
      <c r="E146" s="128" t="s">
        <v>145</v>
      </c>
      <c r="F146" s="29">
        <v>27899</v>
      </c>
      <c r="G146" s="56" t="str">
        <f t="shared" ca="1" si="24"/>
        <v>V 40</v>
      </c>
      <c r="H146" s="28">
        <f t="shared" ca="1" si="25"/>
        <v>44</v>
      </c>
      <c r="J146" s="38" t="str">
        <f t="shared" si="19"/>
        <v>Domingos Andrade</v>
      </c>
      <c r="K146" s="39">
        <f t="shared" si="20"/>
        <v>921</v>
      </c>
      <c r="L146" s="39">
        <f t="shared" si="21"/>
        <v>163166</v>
      </c>
      <c r="M146" s="40">
        <f t="shared" si="26"/>
        <v>27899</v>
      </c>
      <c r="N146" s="41" t="str">
        <f t="shared" ca="1" si="27"/>
        <v>V 40</v>
      </c>
      <c r="O146" s="41" t="str">
        <f t="shared" si="22"/>
        <v>M</v>
      </c>
      <c r="P146" s="60" t="str">
        <f t="shared" si="23"/>
        <v>R-TRM</v>
      </c>
      <c r="Q146" s="61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3">
      <c r="A147" s="28">
        <v>1296</v>
      </c>
      <c r="B147" s="28">
        <v>126060</v>
      </c>
      <c r="C147" s="129" t="s">
        <v>203</v>
      </c>
      <c r="D147" s="128" t="s">
        <v>437</v>
      </c>
      <c r="E147" s="128" t="s">
        <v>145</v>
      </c>
      <c r="F147" s="29">
        <v>30270</v>
      </c>
      <c r="G147" s="56" t="str">
        <f t="shared" ca="1" si="24"/>
        <v>V 35</v>
      </c>
      <c r="H147" s="28">
        <f t="shared" ca="1" si="25"/>
        <v>38</v>
      </c>
      <c r="J147" s="38" t="str">
        <f t="shared" si="19"/>
        <v>Ricardo H. Gouveia</v>
      </c>
      <c r="K147" s="39">
        <f t="shared" si="20"/>
        <v>1296</v>
      </c>
      <c r="L147" s="39">
        <f t="shared" si="21"/>
        <v>126060</v>
      </c>
      <c r="M147" s="40">
        <f t="shared" si="26"/>
        <v>30270</v>
      </c>
      <c r="N147" s="41" t="str">
        <f t="shared" ca="1" si="27"/>
        <v>V 35</v>
      </c>
      <c r="O147" s="41" t="str">
        <f t="shared" si="22"/>
        <v>M</v>
      </c>
      <c r="P147" s="60" t="str">
        <f t="shared" si="23"/>
        <v>CDCPM</v>
      </c>
      <c r="Q147" s="61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3">
      <c r="A148" s="28">
        <v>1295</v>
      </c>
      <c r="B148" s="28">
        <v>137107</v>
      </c>
      <c r="C148" s="129" t="s">
        <v>1502</v>
      </c>
      <c r="D148" s="128" t="s">
        <v>437</v>
      </c>
      <c r="E148" s="128" t="s">
        <v>145</v>
      </c>
      <c r="F148" s="29">
        <v>29584</v>
      </c>
      <c r="G148" s="56" t="str">
        <f t="shared" ca="1" si="24"/>
        <v>V 40</v>
      </c>
      <c r="H148" s="28">
        <f t="shared" ca="1" si="25"/>
        <v>40</v>
      </c>
      <c r="J148" s="38" t="str">
        <f t="shared" si="19"/>
        <v>Duarte Lucas</v>
      </c>
      <c r="K148" s="39">
        <f t="shared" si="20"/>
        <v>1295</v>
      </c>
      <c r="L148" s="39">
        <f t="shared" si="21"/>
        <v>137107</v>
      </c>
      <c r="M148" s="40">
        <f t="shared" si="26"/>
        <v>29584</v>
      </c>
      <c r="N148" s="41" t="str">
        <f t="shared" ca="1" si="27"/>
        <v>V 40</v>
      </c>
      <c r="O148" s="41" t="str">
        <f t="shared" si="22"/>
        <v>M</v>
      </c>
      <c r="P148" s="60" t="str">
        <f t="shared" si="23"/>
        <v>CDCPM</v>
      </c>
      <c r="Q148" s="61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3">
      <c r="A149" s="28">
        <v>1287</v>
      </c>
      <c r="B149" s="28">
        <v>139456</v>
      </c>
      <c r="C149" s="129" t="s">
        <v>473</v>
      </c>
      <c r="D149" s="128" t="s">
        <v>437</v>
      </c>
      <c r="E149" s="128" t="s">
        <v>145</v>
      </c>
      <c r="F149" s="29">
        <v>28489</v>
      </c>
      <c r="G149" s="56" t="str">
        <f t="shared" ca="1" si="24"/>
        <v>V 40</v>
      </c>
      <c r="H149" s="28">
        <f t="shared" ca="1" si="25"/>
        <v>43</v>
      </c>
      <c r="J149" s="38" t="str">
        <f t="shared" si="19"/>
        <v>Ricardo D. Abreu</v>
      </c>
      <c r="K149" s="39">
        <f t="shared" si="20"/>
        <v>1287</v>
      </c>
      <c r="L149" s="39">
        <f t="shared" si="21"/>
        <v>139456</v>
      </c>
      <c r="M149" s="40">
        <f t="shared" si="26"/>
        <v>28489</v>
      </c>
      <c r="N149" s="41" t="str">
        <f t="shared" ca="1" si="27"/>
        <v>V 40</v>
      </c>
      <c r="O149" s="41" t="str">
        <f t="shared" si="22"/>
        <v>M</v>
      </c>
      <c r="P149" s="60" t="str">
        <f t="shared" si="23"/>
        <v>CDCPM</v>
      </c>
      <c r="Q149" s="61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3">
      <c r="A150" s="28">
        <v>1304</v>
      </c>
      <c r="B150" s="28">
        <v>156365</v>
      </c>
      <c r="C150" s="129" t="s">
        <v>1056</v>
      </c>
      <c r="D150" s="128" t="s">
        <v>437</v>
      </c>
      <c r="E150" s="128" t="s">
        <v>145</v>
      </c>
      <c r="F150" s="29">
        <v>32677</v>
      </c>
      <c r="G150" s="56" t="str">
        <f t="shared" ca="1" si="24"/>
        <v>Sénior</v>
      </c>
      <c r="H150" s="28">
        <f t="shared" ca="1" si="25"/>
        <v>31</v>
      </c>
      <c r="J150" s="38" t="str">
        <f t="shared" si="19"/>
        <v>Énio Castro</v>
      </c>
      <c r="K150" s="39">
        <f t="shared" si="20"/>
        <v>1304</v>
      </c>
      <c r="L150" s="39">
        <f t="shared" si="21"/>
        <v>156365</v>
      </c>
      <c r="M150" s="40">
        <f t="shared" si="26"/>
        <v>32677</v>
      </c>
      <c r="N150" s="41" t="str">
        <f t="shared" ca="1" si="27"/>
        <v>Sénior</v>
      </c>
      <c r="O150" s="41" t="str">
        <f t="shared" si="22"/>
        <v>M</v>
      </c>
      <c r="P150" s="60" t="str">
        <f t="shared" si="23"/>
        <v>CDCPM</v>
      </c>
      <c r="Q150" s="61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3">
      <c r="A151" s="28">
        <v>98</v>
      </c>
      <c r="B151" s="28">
        <v>146225</v>
      </c>
      <c r="C151" s="129" t="s">
        <v>581</v>
      </c>
      <c r="D151" s="128" t="s">
        <v>437</v>
      </c>
      <c r="E151" s="128" t="s">
        <v>146</v>
      </c>
      <c r="F151" s="29">
        <v>31662</v>
      </c>
      <c r="G151" s="56" t="str">
        <f t="shared" ca="1" si="24"/>
        <v>Sénior</v>
      </c>
      <c r="H151" s="28">
        <f t="shared" ca="1" si="25"/>
        <v>34</v>
      </c>
      <c r="J151" s="38" t="str">
        <f t="shared" si="19"/>
        <v>Carla V. Freitas</v>
      </c>
      <c r="K151" s="39">
        <f t="shared" si="20"/>
        <v>98</v>
      </c>
      <c r="L151" s="39">
        <f t="shared" si="21"/>
        <v>146225</v>
      </c>
      <c r="M151" s="40">
        <f t="shared" si="26"/>
        <v>31662</v>
      </c>
      <c r="N151" s="41" t="str">
        <f t="shared" ca="1" si="27"/>
        <v>Sénior</v>
      </c>
      <c r="O151" s="41" t="str">
        <f t="shared" si="22"/>
        <v>F</v>
      </c>
      <c r="P151" s="60" t="str">
        <f t="shared" si="23"/>
        <v>CDCPM</v>
      </c>
      <c r="Q151" s="6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3">
      <c r="A152" s="28">
        <v>1286</v>
      </c>
      <c r="B152" s="28">
        <v>162710</v>
      </c>
      <c r="C152" s="129" t="s">
        <v>1503</v>
      </c>
      <c r="D152" s="128" t="s">
        <v>437</v>
      </c>
      <c r="E152" s="128" t="s">
        <v>145</v>
      </c>
      <c r="F152" s="29">
        <v>27979</v>
      </c>
      <c r="G152" s="56" t="str">
        <f t="shared" ca="1" si="24"/>
        <v>V 40</v>
      </c>
      <c r="H152" s="28">
        <f t="shared" ca="1" si="25"/>
        <v>44</v>
      </c>
      <c r="J152" s="38" t="str">
        <f t="shared" si="19"/>
        <v>Nuno Santiago</v>
      </c>
      <c r="K152" s="39">
        <f t="shared" si="20"/>
        <v>1286</v>
      </c>
      <c r="L152" s="39">
        <f t="shared" si="21"/>
        <v>162710</v>
      </c>
      <c r="M152" s="40">
        <f t="shared" si="26"/>
        <v>27979</v>
      </c>
      <c r="N152" s="41" t="str">
        <f t="shared" ca="1" si="27"/>
        <v>V 40</v>
      </c>
      <c r="O152" s="41" t="str">
        <f t="shared" si="22"/>
        <v>M</v>
      </c>
      <c r="P152" s="60" t="str">
        <f t="shared" si="23"/>
        <v>CDCPM</v>
      </c>
      <c r="Q152" s="61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3">
      <c r="A153" s="28">
        <v>1280</v>
      </c>
      <c r="B153" s="28">
        <v>140692</v>
      </c>
      <c r="C153" s="129" t="s">
        <v>643</v>
      </c>
      <c r="D153" s="128" t="s">
        <v>437</v>
      </c>
      <c r="E153" s="128" t="s">
        <v>145</v>
      </c>
      <c r="F153" s="29">
        <v>27713</v>
      </c>
      <c r="G153" s="56" t="str">
        <f t="shared" ca="1" si="24"/>
        <v>V 45</v>
      </c>
      <c r="H153" s="28">
        <f t="shared" ca="1" si="25"/>
        <v>45</v>
      </c>
      <c r="J153" s="38" t="str">
        <f t="shared" si="19"/>
        <v>Nélson Vieira</v>
      </c>
      <c r="K153" s="39">
        <f t="shared" si="20"/>
        <v>1280</v>
      </c>
      <c r="L153" s="39">
        <f t="shared" si="21"/>
        <v>140692</v>
      </c>
      <c r="M153" s="40">
        <f t="shared" si="26"/>
        <v>27713</v>
      </c>
      <c r="N153" s="41" t="str">
        <f t="shared" ca="1" si="27"/>
        <v>V 45</v>
      </c>
      <c r="O153" s="41" t="str">
        <f t="shared" si="22"/>
        <v>M</v>
      </c>
      <c r="P153" s="60" t="str">
        <f t="shared" si="23"/>
        <v>CDCPM</v>
      </c>
      <c r="Q153" s="61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3">
      <c r="A154" s="28">
        <v>1294</v>
      </c>
      <c r="B154" s="28">
        <v>146149</v>
      </c>
      <c r="C154" s="129" t="s">
        <v>624</v>
      </c>
      <c r="D154" s="128" t="s">
        <v>437</v>
      </c>
      <c r="E154" s="128" t="s">
        <v>145</v>
      </c>
      <c r="F154" s="29">
        <v>30848</v>
      </c>
      <c r="G154" s="56" t="str">
        <f t="shared" ca="1" si="24"/>
        <v>V 35</v>
      </c>
      <c r="H154" s="28">
        <f t="shared" ca="1" si="25"/>
        <v>36</v>
      </c>
      <c r="J154" s="38" t="str">
        <f t="shared" si="19"/>
        <v>Nicásio Teixeira</v>
      </c>
      <c r="K154" s="39">
        <f t="shared" si="20"/>
        <v>1294</v>
      </c>
      <c r="L154" s="39">
        <f t="shared" si="21"/>
        <v>146149</v>
      </c>
      <c r="M154" s="40">
        <f t="shared" si="26"/>
        <v>30848</v>
      </c>
      <c r="N154" s="41" t="str">
        <f t="shared" ca="1" si="27"/>
        <v>V 35</v>
      </c>
      <c r="O154" s="41" t="str">
        <f t="shared" si="22"/>
        <v>M</v>
      </c>
      <c r="P154" s="60" t="str">
        <f t="shared" si="23"/>
        <v>CDCPM</v>
      </c>
      <c r="Q154" s="61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3">
      <c r="A155" s="28">
        <v>1293</v>
      </c>
      <c r="B155" s="28">
        <v>161170</v>
      </c>
      <c r="C155" s="129" t="s">
        <v>1354</v>
      </c>
      <c r="D155" s="128" t="s">
        <v>437</v>
      </c>
      <c r="E155" s="128" t="s">
        <v>145</v>
      </c>
      <c r="F155" s="29">
        <v>29577</v>
      </c>
      <c r="G155" s="56" t="str">
        <f t="shared" ca="1" si="24"/>
        <v>V 40</v>
      </c>
      <c r="H155" s="28">
        <f t="shared" ca="1" si="25"/>
        <v>40</v>
      </c>
      <c r="J155" s="38" t="str">
        <f t="shared" si="19"/>
        <v>Nélio Rodrigues</v>
      </c>
      <c r="K155" s="39">
        <f t="shared" si="20"/>
        <v>1293</v>
      </c>
      <c r="L155" s="39">
        <f t="shared" si="21"/>
        <v>161170</v>
      </c>
      <c r="M155" s="40">
        <f t="shared" si="26"/>
        <v>29577</v>
      </c>
      <c r="N155" s="41" t="str">
        <f t="shared" ca="1" si="27"/>
        <v>V 40</v>
      </c>
      <c r="O155" s="41" t="str">
        <f t="shared" si="22"/>
        <v>M</v>
      </c>
      <c r="P155" s="60" t="str">
        <f t="shared" si="23"/>
        <v>CDCPM</v>
      </c>
      <c r="Q155" s="61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3">
      <c r="A156" s="28">
        <v>1275</v>
      </c>
      <c r="B156" s="28">
        <v>136880</v>
      </c>
      <c r="C156" s="129" t="s">
        <v>929</v>
      </c>
      <c r="D156" s="128" t="s">
        <v>437</v>
      </c>
      <c r="E156" s="128" t="s">
        <v>145</v>
      </c>
      <c r="F156" s="29">
        <v>22353</v>
      </c>
      <c r="G156" s="56" t="str">
        <f t="shared" ca="1" si="24"/>
        <v>V 60</v>
      </c>
      <c r="H156" s="28">
        <f t="shared" ca="1" si="25"/>
        <v>60</v>
      </c>
      <c r="J156" s="38" t="str">
        <f t="shared" si="19"/>
        <v>António de Castro</v>
      </c>
      <c r="K156" s="39">
        <f t="shared" si="20"/>
        <v>1275</v>
      </c>
      <c r="L156" s="39">
        <f t="shared" si="21"/>
        <v>136880</v>
      </c>
      <c r="M156" s="40">
        <f t="shared" si="26"/>
        <v>22353</v>
      </c>
      <c r="N156" s="41" t="str">
        <f t="shared" ca="1" si="27"/>
        <v>V 60</v>
      </c>
      <c r="O156" s="41" t="str">
        <f t="shared" si="22"/>
        <v>M</v>
      </c>
      <c r="P156" s="60" t="str">
        <f t="shared" si="23"/>
        <v>CDCPM</v>
      </c>
      <c r="Q156" s="61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3">
      <c r="A157" s="28">
        <v>99</v>
      </c>
      <c r="B157" s="28">
        <v>136564</v>
      </c>
      <c r="C157" s="129" t="s">
        <v>428</v>
      </c>
      <c r="D157" s="128" t="s">
        <v>437</v>
      </c>
      <c r="E157" s="128" t="s">
        <v>146</v>
      </c>
      <c r="F157" s="29">
        <v>32344</v>
      </c>
      <c r="G157" s="56" t="str">
        <f t="shared" ca="1" si="24"/>
        <v>Sénior</v>
      </c>
      <c r="H157" s="28">
        <f t="shared" ca="1" si="25"/>
        <v>32</v>
      </c>
      <c r="J157" s="38" t="str">
        <f t="shared" si="19"/>
        <v>Iulia Fuiorea</v>
      </c>
      <c r="K157" s="39">
        <f t="shared" si="20"/>
        <v>99</v>
      </c>
      <c r="L157" s="39">
        <f t="shared" si="21"/>
        <v>136564</v>
      </c>
      <c r="M157" s="40">
        <f t="shared" si="26"/>
        <v>32344</v>
      </c>
      <c r="N157" s="41" t="str">
        <f t="shared" ca="1" si="27"/>
        <v>Sénior</v>
      </c>
      <c r="O157" s="41" t="str">
        <f t="shared" si="22"/>
        <v>F</v>
      </c>
      <c r="P157" s="60" t="str">
        <f t="shared" si="23"/>
        <v>CDCPM</v>
      </c>
      <c r="Q157" s="61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3">
      <c r="A158" s="28">
        <v>1276</v>
      </c>
      <c r="B158" s="28">
        <v>146453</v>
      </c>
      <c r="C158" s="129" t="s">
        <v>620</v>
      </c>
      <c r="D158" s="128" t="s">
        <v>437</v>
      </c>
      <c r="E158" s="128" t="s">
        <v>145</v>
      </c>
      <c r="F158" s="29">
        <v>24546</v>
      </c>
      <c r="G158" s="56" t="str">
        <f t="shared" ca="1" si="24"/>
        <v>V 50</v>
      </c>
      <c r="H158" s="28">
        <f t="shared" ca="1" si="25"/>
        <v>54</v>
      </c>
      <c r="J158" s="38" t="str">
        <f t="shared" si="19"/>
        <v>Joaquim Rebelo</v>
      </c>
      <c r="K158" s="39">
        <f t="shared" si="20"/>
        <v>1276</v>
      </c>
      <c r="L158" s="39">
        <f t="shared" si="21"/>
        <v>146453</v>
      </c>
      <c r="M158" s="40">
        <f t="shared" si="26"/>
        <v>24546</v>
      </c>
      <c r="N158" s="41" t="str">
        <f t="shared" ca="1" si="27"/>
        <v>V 50</v>
      </c>
      <c r="O158" s="41" t="str">
        <f t="shared" si="22"/>
        <v>M</v>
      </c>
      <c r="P158" s="60" t="str">
        <f t="shared" si="23"/>
        <v>CDCPM</v>
      </c>
      <c r="Q158" s="61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3">
      <c r="A159" s="28">
        <v>1292</v>
      </c>
      <c r="B159" s="28">
        <v>154026</v>
      </c>
      <c r="C159" s="129" t="s">
        <v>1372</v>
      </c>
      <c r="D159" s="128" t="s">
        <v>437</v>
      </c>
      <c r="E159" s="128" t="s">
        <v>145</v>
      </c>
      <c r="F159" s="29">
        <v>29856</v>
      </c>
      <c r="G159" s="56" t="str">
        <f t="shared" ca="1" si="24"/>
        <v>V 35</v>
      </c>
      <c r="H159" s="28">
        <f t="shared" ca="1" si="25"/>
        <v>39</v>
      </c>
      <c r="J159" s="38" t="str">
        <f t="shared" si="19"/>
        <v>Mílton Lopes</v>
      </c>
      <c r="K159" s="39">
        <f t="shared" si="20"/>
        <v>1292</v>
      </c>
      <c r="L159" s="39">
        <f t="shared" si="21"/>
        <v>154026</v>
      </c>
      <c r="M159" s="40">
        <f t="shared" si="26"/>
        <v>29856</v>
      </c>
      <c r="N159" s="41" t="str">
        <f t="shared" ca="1" si="27"/>
        <v>V 35</v>
      </c>
      <c r="O159" s="41" t="str">
        <f t="shared" si="22"/>
        <v>M</v>
      </c>
      <c r="P159" s="60" t="str">
        <f t="shared" si="23"/>
        <v>CDCPM</v>
      </c>
      <c r="Q159" s="61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3">
      <c r="A160" s="28">
        <v>106</v>
      </c>
      <c r="B160" s="28">
        <v>139562</v>
      </c>
      <c r="C160" s="129" t="s">
        <v>472</v>
      </c>
      <c r="D160" s="128" t="s">
        <v>437</v>
      </c>
      <c r="E160" s="128" t="s">
        <v>146</v>
      </c>
      <c r="F160" s="29">
        <v>27685</v>
      </c>
      <c r="G160" s="56" t="str">
        <f t="shared" ca="1" si="24"/>
        <v>V 45</v>
      </c>
      <c r="H160" s="28">
        <f t="shared" ca="1" si="25"/>
        <v>45</v>
      </c>
      <c r="J160" s="38" t="str">
        <f t="shared" si="19"/>
        <v>Maria João Abreu</v>
      </c>
      <c r="K160" s="39">
        <f t="shared" si="20"/>
        <v>106</v>
      </c>
      <c r="L160" s="39">
        <f t="shared" si="21"/>
        <v>139562</v>
      </c>
      <c r="M160" s="40">
        <f t="shared" si="26"/>
        <v>27685</v>
      </c>
      <c r="N160" s="41" t="str">
        <f t="shared" ca="1" si="27"/>
        <v>V 45</v>
      </c>
      <c r="O160" s="41" t="str">
        <f t="shared" si="22"/>
        <v>F</v>
      </c>
      <c r="P160" s="60" t="str">
        <f t="shared" si="23"/>
        <v>CDCPM</v>
      </c>
      <c r="Q160" s="61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3">
      <c r="A161" s="28">
        <v>101</v>
      </c>
      <c r="B161" s="28">
        <v>125501</v>
      </c>
      <c r="C161" s="129" t="s">
        <v>180</v>
      </c>
      <c r="D161" s="128" t="s">
        <v>437</v>
      </c>
      <c r="E161" s="128" t="s">
        <v>146</v>
      </c>
      <c r="F161" s="29">
        <v>30440</v>
      </c>
      <c r="G161" s="56" t="str">
        <f t="shared" ca="1" si="24"/>
        <v>V 35</v>
      </c>
      <c r="H161" s="28">
        <f t="shared" ca="1" si="25"/>
        <v>37</v>
      </c>
      <c r="J161" s="38" t="str">
        <f t="shared" si="19"/>
        <v>Cátia Fiqueli</v>
      </c>
      <c r="K161" s="39">
        <f t="shared" si="20"/>
        <v>101</v>
      </c>
      <c r="L161" s="39">
        <f t="shared" si="21"/>
        <v>125501</v>
      </c>
      <c r="M161" s="40">
        <f t="shared" si="26"/>
        <v>30440</v>
      </c>
      <c r="N161" s="41" t="str">
        <f t="shared" ca="1" si="27"/>
        <v>V 35</v>
      </c>
      <c r="O161" s="41" t="str">
        <f t="shared" si="22"/>
        <v>F</v>
      </c>
      <c r="P161" s="60" t="str">
        <f t="shared" si="23"/>
        <v>CDCPM</v>
      </c>
      <c r="Q161" s="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3">
      <c r="A162" s="28">
        <v>1285</v>
      </c>
      <c r="B162" s="28">
        <v>125508</v>
      </c>
      <c r="C162" s="129" t="s">
        <v>185</v>
      </c>
      <c r="D162" s="128" t="s">
        <v>437</v>
      </c>
      <c r="E162" s="128" t="s">
        <v>145</v>
      </c>
      <c r="F162" s="29">
        <v>28295</v>
      </c>
      <c r="G162" s="56" t="str">
        <f t="shared" ca="1" si="24"/>
        <v>V 40</v>
      </c>
      <c r="H162" s="28">
        <f t="shared" ca="1" si="25"/>
        <v>43</v>
      </c>
      <c r="J162" s="38" t="str">
        <f t="shared" si="19"/>
        <v>Américo Caldeira</v>
      </c>
      <c r="K162" s="39">
        <f t="shared" si="20"/>
        <v>1285</v>
      </c>
      <c r="L162" s="39">
        <f t="shared" si="21"/>
        <v>125508</v>
      </c>
      <c r="M162" s="40">
        <f t="shared" si="26"/>
        <v>28295</v>
      </c>
      <c r="N162" s="41" t="str">
        <f t="shared" ca="1" si="27"/>
        <v>V 40</v>
      </c>
      <c r="O162" s="41" t="str">
        <f t="shared" si="22"/>
        <v>M</v>
      </c>
      <c r="P162" s="60" t="str">
        <f t="shared" si="23"/>
        <v>CDCPM</v>
      </c>
      <c r="Q162" s="61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3">
      <c r="A163" s="28">
        <v>1303</v>
      </c>
      <c r="B163" s="28">
        <v>152653</v>
      </c>
      <c r="C163" s="129" t="s">
        <v>806</v>
      </c>
      <c r="D163" s="128" t="s">
        <v>437</v>
      </c>
      <c r="E163" s="128" t="s">
        <v>145</v>
      </c>
      <c r="F163" s="29">
        <v>32227</v>
      </c>
      <c r="G163" s="56" t="str">
        <f t="shared" ca="1" si="24"/>
        <v>Sénior</v>
      </c>
      <c r="H163" s="28">
        <f t="shared" ca="1" si="25"/>
        <v>33</v>
      </c>
      <c r="J163" s="38" t="str">
        <f t="shared" si="19"/>
        <v>Fábio A. Pestana</v>
      </c>
      <c r="K163" s="39">
        <f t="shared" si="20"/>
        <v>1303</v>
      </c>
      <c r="L163" s="39">
        <f t="shared" si="21"/>
        <v>152653</v>
      </c>
      <c r="M163" s="40">
        <f t="shared" si="26"/>
        <v>32227</v>
      </c>
      <c r="N163" s="41" t="str">
        <f t="shared" ca="1" si="27"/>
        <v>Sénior</v>
      </c>
      <c r="O163" s="41" t="str">
        <f t="shared" si="22"/>
        <v>M</v>
      </c>
      <c r="P163" s="60" t="str">
        <f t="shared" si="23"/>
        <v>CDCPM</v>
      </c>
      <c r="Q163" s="61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3">
      <c r="A164" s="28">
        <v>1279</v>
      </c>
      <c r="B164" s="28">
        <v>158347</v>
      </c>
      <c r="C164" s="129" t="s">
        <v>1117</v>
      </c>
      <c r="D164" s="128" t="s">
        <v>437</v>
      </c>
      <c r="E164" s="128" t="s">
        <v>145</v>
      </c>
      <c r="F164" s="29">
        <v>26977</v>
      </c>
      <c r="G164" s="56" t="str">
        <f t="shared" ca="1" si="24"/>
        <v>V 45</v>
      </c>
      <c r="H164" s="28">
        <f t="shared" ca="1" si="25"/>
        <v>47</v>
      </c>
      <c r="J164" s="38" t="str">
        <f t="shared" si="19"/>
        <v>Marco Nunes</v>
      </c>
      <c r="K164" s="39">
        <f t="shared" si="20"/>
        <v>1279</v>
      </c>
      <c r="L164" s="39">
        <f t="shared" si="21"/>
        <v>158347</v>
      </c>
      <c r="M164" s="40">
        <f t="shared" si="26"/>
        <v>26977</v>
      </c>
      <c r="N164" s="41" t="str">
        <f t="shared" ca="1" si="27"/>
        <v>V 45</v>
      </c>
      <c r="O164" s="41" t="str">
        <f t="shared" si="22"/>
        <v>M</v>
      </c>
      <c r="P164" s="60" t="str">
        <f t="shared" si="23"/>
        <v>CDCPM</v>
      </c>
      <c r="Q164" s="61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3">
      <c r="A165" s="28">
        <v>1284</v>
      </c>
      <c r="B165" s="28">
        <v>126758</v>
      </c>
      <c r="C165" s="129" t="s">
        <v>501</v>
      </c>
      <c r="D165" s="128" t="s">
        <v>437</v>
      </c>
      <c r="E165" s="128" t="s">
        <v>145</v>
      </c>
      <c r="F165" s="29">
        <v>29032</v>
      </c>
      <c r="G165" s="56" t="str">
        <f t="shared" ca="1" si="24"/>
        <v>V 40</v>
      </c>
      <c r="H165" s="28">
        <f t="shared" ca="1" si="25"/>
        <v>41</v>
      </c>
      <c r="J165" s="38" t="str">
        <f t="shared" si="19"/>
        <v>Dinarte Nunes</v>
      </c>
      <c r="K165" s="39">
        <f t="shared" si="20"/>
        <v>1284</v>
      </c>
      <c r="L165" s="39">
        <f t="shared" si="21"/>
        <v>126758</v>
      </c>
      <c r="M165" s="40">
        <f t="shared" si="26"/>
        <v>29032</v>
      </c>
      <c r="N165" s="41" t="str">
        <f t="shared" ca="1" si="27"/>
        <v>V 40</v>
      </c>
      <c r="O165" s="41" t="str">
        <f t="shared" si="22"/>
        <v>M</v>
      </c>
      <c r="P165" s="60" t="str">
        <f t="shared" si="23"/>
        <v>CDCPM</v>
      </c>
      <c r="Q165" s="61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3">
      <c r="A166" s="28">
        <v>1291</v>
      </c>
      <c r="B166" s="28">
        <v>136296</v>
      </c>
      <c r="C166" s="129" t="s">
        <v>1187</v>
      </c>
      <c r="D166" s="128" t="s">
        <v>437</v>
      </c>
      <c r="E166" s="128" t="s">
        <v>145</v>
      </c>
      <c r="F166" s="29">
        <v>31001</v>
      </c>
      <c r="G166" s="56" t="str">
        <f t="shared" ca="1" si="24"/>
        <v>V 35</v>
      </c>
      <c r="H166" s="28">
        <f t="shared" ca="1" si="25"/>
        <v>36</v>
      </c>
      <c r="J166" s="38" t="str">
        <f t="shared" si="19"/>
        <v>Maurício Gomes</v>
      </c>
      <c r="K166" s="39">
        <f t="shared" si="20"/>
        <v>1291</v>
      </c>
      <c r="L166" s="39">
        <f t="shared" si="21"/>
        <v>136296</v>
      </c>
      <c r="M166" s="40">
        <f t="shared" si="26"/>
        <v>31001</v>
      </c>
      <c r="N166" s="41" t="str">
        <f t="shared" ca="1" si="27"/>
        <v>V 35</v>
      </c>
      <c r="O166" s="41" t="str">
        <f t="shared" si="22"/>
        <v>M</v>
      </c>
      <c r="P166" s="60" t="str">
        <f t="shared" si="23"/>
        <v>CDCPM</v>
      </c>
      <c r="Q166" s="61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3">
      <c r="A167" s="28">
        <v>1302</v>
      </c>
      <c r="B167" s="28">
        <v>140104</v>
      </c>
      <c r="C167" s="129" t="s">
        <v>470</v>
      </c>
      <c r="D167" s="128" t="s">
        <v>437</v>
      </c>
      <c r="E167" s="128" t="s">
        <v>145</v>
      </c>
      <c r="F167" s="29">
        <v>31579</v>
      </c>
      <c r="G167" s="56" t="str">
        <f t="shared" ca="1" si="24"/>
        <v>Sénior</v>
      </c>
      <c r="H167" s="28">
        <f t="shared" ca="1" si="25"/>
        <v>34</v>
      </c>
      <c r="J167" s="38" t="str">
        <f t="shared" si="19"/>
        <v>Flávio Duarte Vieira</v>
      </c>
      <c r="K167" s="39">
        <f t="shared" si="20"/>
        <v>1302</v>
      </c>
      <c r="L167" s="39">
        <f t="shared" si="21"/>
        <v>140104</v>
      </c>
      <c r="M167" s="40">
        <f t="shared" si="26"/>
        <v>31579</v>
      </c>
      <c r="N167" s="41" t="str">
        <f t="shared" ca="1" si="27"/>
        <v>Sénior</v>
      </c>
      <c r="O167" s="41" t="str">
        <f t="shared" si="22"/>
        <v>M</v>
      </c>
      <c r="P167" s="60" t="str">
        <f t="shared" si="23"/>
        <v>CDCPM</v>
      </c>
      <c r="Q167" s="61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3">
      <c r="A168" s="28">
        <v>1290</v>
      </c>
      <c r="B168" s="28">
        <v>145043</v>
      </c>
      <c r="C168" s="129" t="s">
        <v>1504</v>
      </c>
      <c r="D168" s="128" t="s">
        <v>437</v>
      </c>
      <c r="E168" s="128" t="s">
        <v>145</v>
      </c>
      <c r="F168" s="29">
        <v>31143</v>
      </c>
      <c r="G168" s="56" t="str">
        <f t="shared" ca="1" si="24"/>
        <v>V 35</v>
      </c>
      <c r="H168" s="28">
        <f t="shared" ca="1" si="25"/>
        <v>36</v>
      </c>
      <c r="J168" s="38" t="str">
        <f t="shared" si="19"/>
        <v>Luís Noite</v>
      </c>
      <c r="K168" s="39">
        <f t="shared" si="20"/>
        <v>1290</v>
      </c>
      <c r="L168" s="39">
        <f t="shared" si="21"/>
        <v>145043</v>
      </c>
      <c r="M168" s="40">
        <f t="shared" si="26"/>
        <v>31143</v>
      </c>
      <c r="N168" s="41" t="str">
        <f t="shared" ca="1" si="27"/>
        <v>V 35</v>
      </c>
      <c r="O168" s="41" t="str">
        <f t="shared" si="22"/>
        <v>M</v>
      </c>
      <c r="P168" s="60" t="str">
        <f t="shared" si="23"/>
        <v>CDCPM</v>
      </c>
      <c r="Q168" s="61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3">
      <c r="A169" s="28">
        <v>107</v>
      </c>
      <c r="B169" s="28">
        <v>138217</v>
      </c>
      <c r="C169" s="129" t="s">
        <v>1297</v>
      </c>
      <c r="D169" s="128" t="s">
        <v>437</v>
      </c>
      <c r="E169" s="128" t="s">
        <v>146</v>
      </c>
      <c r="F169" s="29">
        <v>27307</v>
      </c>
      <c r="G169" s="56" t="str">
        <f t="shared" ca="1" si="24"/>
        <v>V 45</v>
      </c>
      <c r="H169" s="28">
        <f t="shared" ca="1" si="25"/>
        <v>46</v>
      </c>
      <c r="J169" s="38" t="str">
        <f t="shared" si="19"/>
        <v>Judite Câmara</v>
      </c>
      <c r="K169" s="39">
        <f t="shared" si="20"/>
        <v>107</v>
      </c>
      <c r="L169" s="39">
        <f t="shared" si="21"/>
        <v>138217</v>
      </c>
      <c r="M169" s="40">
        <f t="shared" si="26"/>
        <v>27307</v>
      </c>
      <c r="N169" s="41" t="str">
        <f t="shared" ca="1" si="27"/>
        <v>V 45</v>
      </c>
      <c r="O169" s="41" t="str">
        <f t="shared" si="22"/>
        <v>F</v>
      </c>
      <c r="P169" s="60" t="str">
        <f t="shared" si="23"/>
        <v>CDCPM</v>
      </c>
      <c r="Q169" s="61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3">
      <c r="A170" s="28">
        <v>1278</v>
      </c>
      <c r="B170" s="28">
        <v>138216</v>
      </c>
      <c r="C170" s="129" t="s">
        <v>1298</v>
      </c>
      <c r="D170" s="128" t="s">
        <v>437</v>
      </c>
      <c r="E170" s="128" t="s">
        <v>145</v>
      </c>
      <c r="F170" s="29">
        <v>26197</v>
      </c>
      <c r="G170" s="56" t="str">
        <f t="shared" ca="1" si="24"/>
        <v>V 45</v>
      </c>
      <c r="H170" s="28">
        <f t="shared" ca="1" si="25"/>
        <v>49</v>
      </c>
      <c r="J170" s="38" t="str">
        <f t="shared" si="19"/>
        <v>João Câmara</v>
      </c>
      <c r="K170" s="39">
        <f t="shared" si="20"/>
        <v>1278</v>
      </c>
      <c r="L170" s="39">
        <f t="shared" si="21"/>
        <v>138216</v>
      </c>
      <c r="M170" s="40">
        <f t="shared" si="26"/>
        <v>26197</v>
      </c>
      <c r="N170" s="41" t="str">
        <f t="shared" ca="1" si="27"/>
        <v>V 45</v>
      </c>
      <c r="O170" s="41" t="str">
        <f t="shared" si="22"/>
        <v>M</v>
      </c>
      <c r="P170" s="60" t="str">
        <f t="shared" si="23"/>
        <v>CDCPM</v>
      </c>
      <c r="Q170" s="61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3">
      <c r="A171" s="28">
        <v>1301</v>
      </c>
      <c r="B171" s="28">
        <v>138619</v>
      </c>
      <c r="C171" s="129" t="s">
        <v>440</v>
      </c>
      <c r="D171" s="128" t="s">
        <v>437</v>
      </c>
      <c r="E171" s="128" t="s">
        <v>145</v>
      </c>
      <c r="F171" s="29">
        <v>32078</v>
      </c>
      <c r="G171" s="56" t="str">
        <f t="shared" ca="1" si="24"/>
        <v>Sénior</v>
      </c>
      <c r="H171" s="28">
        <f t="shared" ca="1" si="25"/>
        <v>33</v>
      </c>
      <c r="J171" s="38" t="str">
        <f t="shared" si="19"/>
        <v>Élton Martins</v>
      </c>
      <c r="K171" s="39">
        <f t="shared" si="20"/>
        <v>1301</v>
      </c>
      <c r="L171" s="39">
        <f t="shared" si="21"/>
        <v>138619</v>
      </c>
      <c r="M171" s="40">
        <f t="shared" si="26"/>
        <v>32078</v>
      </c>
      <c r="N171" s="41" t="str">
        <f t="shared" ca="1" si="27"/>
        <v>Sénior</v>
      </c>
      <c r="O171" s="41" t="str">
        <f t="shared" si="22"/>
        <v>M</v>
      </c>
      <c r="P171" s="60" t="str">
        <f t="shared" si="23"/>
        <v>CDCPM</v>
      </c>
      <c r="Q171" s="6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3">
      <c r="A172" s="28">
        <v>1300</v>
      </c>
      <c r="B172" s="28">
        <v>137145</v>
      </c>
      <c r="C172" s="129" t="s">
        <v>1299</v>
      </c>
      <c r="D172" s="128" t="s">
        <v>437</v>
      </c>
      <c r="E172" s="128" t="s">
        <v>145</v>
      </c>
      <c r="F172" s="29">
        <v>31691</v>
      </c>
      <c r="G172" s="56" t="str">
        <f t="shared" ca="1" si="24"/>
        <v>Sénior</v>
      </c>
      <c r="H172" s="28">
        <f t="shared" ca="1" si="25"/>
        <v>34</v>
      </c>
      <c r="J172" s="38" t="str">
        <f t="shared" si="19"/>
        <v>Bruno Lambaz</v>
      </c>
      <c r="K172" s="39">
        <f t="shared" si="20"/>
        <v>1300</v>
      </c>
      <c r="L172" s="39">
        <f t="shared" si="21"/>
        <v>137145</v>
      </c>
      <c r="M172" s="40">
        <f t="shared" si="26"/>
        <v>31691</v>
      </c>
      <c r="N172" s="41" t="str">
        <f t="shared" ca="1" si="27"/>
        <v>Sénior</v>
      </c>
      <c r="O172" s="41" t="str">
        <f t="shared" si="22"/>
        <v>M</v>
      </c>
      <c r="P172" s="60" t="str">
        <f t="shared" si="23"/>
        <v>CDCPM</v>
      </c>
      <c r="Q172" s="61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3">
      <c r="A173" s="28">
        <v>1283</v>
      </c>
      <c r="B173" s="28">
        <v>137216</v>
      </c>
      <c r="C173" s="129" t="s">
        <v>436</v>
      </c>
      <c r="D173" s="128" t="s">
        <v>437</v>
      </c>
      <c r="E173" s="128" t="s">
        <v>145</v>
      </c>
      <c r="F173" s="29">
        <v>29388</v>
      </c>
      <c r="G173" s="56" t="str">
        <f t="shared" ca="1" si="24"/>
        <v>V 40</v>
      </c>
      <c r="H173" s="28">
        <f t="shared" ca="1" si="25"/>
        <v>40</v>
      </c>
      <c r="J173" s="38" t="str">
        <f t="shared" si="19"/>
        <v>Samuel Silva</v>
      </c>
      <c r="K173" s="39">
        <f t="shared" si="20"/>
        <v>1283</v>
      </c>
      <c r="L173" s="39">
        <f t="shared" si="21"/>
        <v>137216</v>
      </c>
      <c r="M173" s="40">
        <f t="shared" si="26"/>
        <v>29388</v>
      </c>
      <c r="N173" s="41" t="str">
        <f t="shared" ca="1" si="27"/>
        <v>V 40</v>
      </c>
      <c r="O173" s="41" t="str">
        <f t="shared" si="22"/>
        <v>M</v>
      </c>
      <c r="P173" s="60" t="str">
        <f t="shared" si="23"/>
        <v>CDCPM</v>
      </c>
      <c r="Q173" s="61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3">
      <c r="A174" s="28">
        <v>1282</v>
      </c>
      <c r="B174" s="28">
        <v>153416</v>
      </c>
      <c r="C174" s="129" t="s">
        <v>930</v>
      </c>
      <c r="D174" s="128" t="s">
        <v>437</v>
      </c>
      <c r="E174" s="128" t="s">
        <v>145</v>
      </c>
      <c r="F174" s="29">
        <v>28597</v>
      </c>
      <c r="G174" s="56" t="str">
        <f t="shared" ca="1" si="24"/>
        <v>V 40</v>
      </c>
      <c r="H174" s="28">
        <f t="shared" ca="1" si="25"/>
        <v>43</v>
      </c>
      <c r="J174" s="38" t="str">
        <f t="shared" si="19"/>
        <v>J. Manuel Vieira</v>
      </c>
      <c r="K174" s="39">
        <f t="shared" si="20"/>
        <v>1282</v>
      </c>
      <c r="L174" s="39">
        <f t="shared" si="21"/>
        <v>153416</v>
      </c>
      <c r="M174" s="40">
        <f t="shared" si="26"/>
        <v>28597</v>
      </c>
      <c r="N174" s="41" t="str">
        <f t="shared" ca="1" si="27"/>
        <v>V 40</v>
      </c>
      <c r="O174" s="41" t="str">
        <f t="shared" si="22"/>
        <v>M</v>
      </c>
      <c r="P174" s="60" t="str">
        <f t="shared" si="23"/>
        <v>CDCPM</v>
      </c>
      <c r="Q174" s="61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3">
      <c r="A175" s="28">
        <v>1281</v>
      </c>
      <c r="B175" s="28">
        <v>141240</v>
      </c>
      <c r="C175" s="129" t="s">
        <v>1505</v>
      </c>
      <c r="D175" s="128" t="s">
        <v>437</v>
      </c>
      <c r="E175" s="128" t="s">
        <v>145</v>
      </c>
      <c r="F175" s="29">
        <v>27759</v>
      </c>
      <c r="G175" s="56" t="str">
        <f t="shared" ca="1" si="24"/>
        <v>V 45</v>
      </c>
      <c r="H175" s="28">
        <f t="shared" ca="1" si="25"/>
        <v>45</v>
      </c>
      <c r="J175" s="38" t="str">
        <f t="shared" si="19"/>
        <v>António Gouveia</v>
      </c>
      <c r="K175" s="39">
        <f t="shared" si="20"/>
        <v>1281</v>
      </c>
      <c r="L175" s="39">
        <f t="shared" si="21"/>
        <v>141240</v>
      </c>
      <c r="M175" s="40">
        <f t="shared" si="26"/>
        <v>27759</v>
      </c>
      <c r="N175" s="41" t="str">
        <f t="shared" ca="1" si="27"/>
        <v>V 45</v>
      </c>
      <c r="O175" s="41" t="str">
        <f t="shared" si="22"/>
        <v>M</v>
      </c>
      <c r="P175" s="60" t="str">
        <f t="shared" si="23"/>
        <v>CDCPM</v>
      </c>
      <c r="Q175" s="61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3">
      <c r="A176" s="28">
        <v>104</v>
      </c>
      <c r="B176" s="28">
        <v>141649</v>
      </c>
      <c r="C176" s="129" t="s">
        <v>1498</v>
      </c>
      <c r="D176" s="128" t="s">
        <v>437</v>
      </c>
      <c r="E176" s="128" t="s">
        <v>146</v>
      </c>
      <c r="F176" s="29">
        <v>29549</v>
      </c>
      <c r="G176" s="56" t="str">
        <f t="shared" ca="1" si="24"/>
        <v>V 40</v>
      </c>
      <c r="H176" s="28">
        <f t="shared" ca="1" si="25"/>
        <v>40</v>
      </c>
      <c r="J176" s="38" t="str">
        <f t="shared" si="19"/>
        <v>Julieta Pestana</v>
      </c>
      <c r="K176" s="39">
        <f t="shared" si="20"/>
        <v>104</v>
      </c>
      <c r="L176" s="39">
        <f t="shared" si="21"/>
        <v>141649</v>
      </c>
      <c r="M176" s="40">
        <f t="shared" si="26"/>
        <v>29549</v>
      </c>
      <c r="N176" s="41" t="str">
        <f t="shared" ca="1" si="27"/>
        <v>V 40</v>
      </c>
      <c r="O176" s="41" t="str">
        <f t="shared" si="22"/>
        <v>F</v>
      </c>
      <c r="P176" s="60" t="str">
        <f t="shared" si="23"/>
        <v>CDCPM</v>
      </c>
      <c r="Q176" s="61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3">
      <c r="A177" s="28">
        <v>1299</v>
      </c>
      <c r="B177" s="28">
        <v>162952</v>
      </c>
      <c r="C177" s="129" t="s">
        <v>1506</v>
      </c>
      <c r="D177" s="128" t="s">
        <v>437</v>
      </c>
      <c r="E177" s="128" t="s">
        <v>145</v>
      </c>
      <c r="F177" s="29">
        <v>34066</v>
      </c>
      <c r="G177" s="56" t="str">
        <f t="shared" ca="1" si="24"/>
        <v>Sénior</v>
      </c>
      <c r="H177" s="28">
        <f t="shared" ca="1" si="25"/>
        <v>28</v>
      </c>
      <c r="J177" s="38" t="str">
        <f t="shared" si="19"/>
        <v>João Valente</v>
      </c>
      <c r="K177" s="39">
        <f t="shared" si="20"/>
        <v>1299</v>
      </c>
      <c r="L177" s="39">
        <f t="shared" si="21"/>
        <v>162952</v>
      </c>
      <c r="M177" s="40">
        <f t="shared" si="26"/>
        <v>34066</v>
      </c>
      <c r="N177" s="41" t="str">
        <f t="shared" ca="1" si="27"/>
        <v>Sénior</v>
      </c>
      <c r="O177" s="41" t="str">
        <f t="shared" si="22"/>
        <v>M</v>
      </c>
      <c r="P177" s="60" t="str">
        <f t="shared" si="23"/>
        <v>CDCPM</v>
      </c>
      <c r="Q177" s="61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3">
      <c r="A178" s="28">
        <v>1298</v>
      </c>
      <c r="B178" s="28">
        <v>162964</v>
      </c>
      <c r="C178" s="129" t="s">
        <v>1507</v>
      </c>
      <c r="D178" s="128" t="s">
        <v>437</v>
      </c>
      <c r="E178" s="128" t="s">
        <v>145</v>
      </c>
      <c r="F178" s="29">
        <v>33532</v>
      </c>
      <c r="G178" s="56" t="str">
        <f t="shared" ca="1" si="24"/>
        <v>Sénior</v>
      </c>
      <c r="H178" s="28">
        <f t="shared" ca="1" si="25"/>
        <v>29</v>
      </c>
      <c r="J178" s="38" t="str">
        <f t="shared" si="19"/>
        <v>José Valente</v>
      </c>
      <c r="K178" s="39">
        <f t="shared" si="20"/>
        <v>1298</v>
      </c>
      <c r="L178" s="39">
        <f t="shared" si="21"/>
        <v>162964</v>
      </c>
      <c r="M178" s="40">
        <f t="shared" si="26"/>
        <v>33532</v>
      </c>
      <c r="N178" s="41" t="str">
        <f t="shared" ca="1" si="27"/>
        <v>Sénior</v>
      </c>
      <c r="O178" s="41" t="str">
        <f t="shared" si="22"/>
        <v>M</v>
      </c>
      <c r="P178" s="60" t="str">
        <f t="shared" si="23"/>
        <v>CDCPM</v>
      </c>
      <c r="Q178" s="61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3">
      <c r="A179" s="28">
        <v>105</v>
      </c>
      <c r="B179" s="28">
        <v>162899</v>
      </c>
      <c r="C179" s="129" t="s">
        <v>1499</v>
      </c>
      <c r="D179" s="128" t="s">
        <v>437</v>
      </c>
      <c r="E179" s="128" t="s">
        <v>146</v>
      </c>
      <c r="F179" s="29">
        <v>27858</v>
      </c>
      <c r="G179" s="56" t="str">
        <f t="shared" ca="1" si="24"/>
        <v>V 45</v>
      </c>
      <c r="H179" s="28">
        <f t="shared" ca="1" si="25"/>
        <v>45</v>
      </c>
      <c r="J179" s="38" t="str">
        <f t="shared" si="19"/>
        <v>Benilde Lourenço</v>
      </c>
      <c r="K179" s="39">
        <f t="shared" si="20"/>
        <v>105</v>
      </c>
      <c r="L179" s="39">
        <f t="shared" si="21"/>
        <v>162899</v>
      </c>
      <c r="M179" s="40">
        <f t="shared" si="26"/>
        <v>27858</v>
      </c>
      <c r="N179" s="41" t="str">
        <f t="shared" ca="1" si="27"/>
        <v>V 45</v>
      </c>
      <c r="O179" s="41" t="str">
        <f t="shared" si="22"/>
        <v>F</v>
      </c>
      <c r="P179" s="60" t="str">
        <f t="shared" si="23"/>
        <v>CDCPM</v>
      </c>
      <c r="Q179" s="61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3">
      <c r="A180" s="28">
        <v>102</v>
      </c>
      <c r="B180" s="28">
        <v>162936</v>
      </c>
      <c r="C180" s="129" t="s">
        <v>1500</v>
      </c>
      <c r="D180" s="128" t="s">
        <v>437</v>
      </c>
      <c r="E180" s="128" t="s">
        <v>146</v>
      </c>
      <c r="F180" s="29">
        <v>29926</v>
      </c>
      <c r="G180" s="56" t="str">
        <f t="shared" ca="1" si="24"/>
        <v>V 35</v>
      </c>
      <c r="H180" s="28">
        <f t="shared" ca="1" si="25"/>
        <v>39</v>
      </c>
      <c r="J180" s="38" t="str">
        <f t="shared" si="19"/>
        <v>Sónia Lucas</v>
      </c>
      <c r="K180" s="39">
        <f t="shared" si="20"/>
        <v>102</v>
      </c>
      <c r="L180" s="39">
        <f t="shared" si="21"/>
        <v>162936</v>
      </c>
      <c r="M180" s="40">
        <f t="shared" si="26"/>
        <v>29926</v>
      </c>
      <c r="N180" s="41" t="str">
        <f t="shared" ca="1" si="27"/>
        <v>V 35</v>
      </c>
      <c r="O180" s="41" t="str">
        <f t="shared" si="22"/>
        <v>F</v>
      </c>
      <c r="P180" s="60" t="str">
        <f t="shared" si="23"/>
        <v>CDCPM</v>
      </c>
      <c r="Q180" s="61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3">
      <c r="A181" s="28">
        <v>1289</v>
      </c>
      <c r="B181" s="28">
        <v>162937</v>
      </c>
      <c r="C181" s="129" t="s">
        <v>1508</v>
      </c>
      <c r="D181" s="128" t="s">
        <v>437</v>
      </c>
      <c r="E181" s="128" t="s">
        <v>145</v>
      </c>
      <c r="F181" s="29">
        <v>30668</v>
      </c>
      <c r="G181" s="56" t="str">
        <f t="shared" ca="1" si="24"/>
        <v>V 35</v>
      </c>
      <c r="H181" s="28">
        <f t="shared" ca="1" si="25"/>
        <v>37</v>
      </c>
      <c r="J181" s="38" t="str">
        <f t="shared" si="19"/>
        <v>António Jesus</v>
      </c>
      <c r="K181" s="39">
        <f t="shared" si="20"/>
        <v>1289</v>
      </c>
      <c r="L181" s="39">
        <f t="shared" si="21"/>
        <v>162937</v>
      </c>
      <c r="M181" s="40">
        <f t="shared" si="26"/>
        <v>30668</v>
      </c>
      <c r="N181" s="41" t="str">
        <f t="shared" ca="1" si="27"/>
        <v>V 35</v>
      </c>
      <c r="O181" s="41" t="str">
        <f t="shared" si="22"/>
        <v>M</v>
      </c>
      <c r="P181" s="60" t="str">
        <f t="shared" si="23"/>
        <v>CDCPM</v>
      </c>
      <c r="Q181" s="6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3">
      <c r="A182" s="28">
        <v>103</v>
      </c>
      <c r="B182" s="28">
        <v>162945</v>
      </c>
      <c r="C182" s="129" t="s">
        <v>1501</v>
      </c>
      <c r="D182" s="128" t="s">
        <v>437</v>
      </c>
      <c r="E182" s="128" t="s">
        <v>146</v>
      </c>
      <c r="F182" s="29">
        <v>30778</v>
      </c>
      <c r="G182" s="56" t="str">
        <f t="shared" ca="1" si="24"/>
        <v>V 35</v>
      </c>
      <c r="H182" s="28">
        <f t="shared" ca="1" si="25"/>
        <v>37</v>
      </c>
      <c r="J182" s="38" t="str">
        <f t="shared" si="19"/>
        <v>Natércia Freitas</v>
      </c>
      <c r="K182" s="39">
        <f t="shared" si="20"/>
        <v>103</v>
      </c>
      <c r="L182" s="39">
        <f t="shared" si="21"/>
        <v>162945</v>
      </c>
      <c r="M182" s="40">
        <f t="shared" si="26"/>
        <v>30778</v>
      </c>
      <c r="N182" s="41" t="str">
        <f t="shared" ca="1" si="27"/>
        <v>V 35</v>
      </c>
      <c r="O182" s="41" t="str">
        <f t="shared" si="22"/>
        <v>F</v>
      </c>
      <c r="P182" s="60" t="str">
        <f t="shared" si="23"/>
        <v>CDCPM</v>
      </c>
      <c r="Q182" s="61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3">
      <c r="A183" s="28">
        <v>1297</v>
      </c>
      <c r="B183" s="28">
        <v>162977</v>
      </c>
      <c r="C183" s="129" t="s">
        <v>1509</v>
      </c>
      <c r="D183" s="128" t="s">
        <v>437</v>
      </c>
      <c r="E183" s="128" t="s">
        <v>145</v>
      </c>
      <c r="F183" s="29">
        <v>32541</v>
      </c>
      <c r="G183" s="56" t="str">
        <f t="shared" ca="1" si="24"/>
        <v>Sénior</v>
      </c>
      <c r="H183" s="28">
        <f t="shared" ca="1" si="25"/>
        <v>32</v>
      </c>
      <c r="J183" s="38" t="str">
        <f t="shared" si="19"/>
        <v>João Corte</v>
      </c>
      <c r="K183" s="39">
        <f t="shared" si="20"/>
        <v>1297</v>
      </c>
      <c r="L183" s="39">
        <f t="shared" si="21"/>
        <v>162977</v>
      </c>
      <c r="M183" s="40">
        <f t="shared" si="26"/>
        <v>32541</v>
      </c>
      <c r="N183" s="41" t="str">
        <f t="shared" ca="1" si="27"/>
        <v>Sénior</v>
      </c>
      <c r="O183" s="41" t="str">
        <f t="shared" si="22"/>
        <v>M</v>
      </c>
      <c r="P183" s="60" t="str">
        <f t="shared" si="23"/>
        <v>CDCPM</v>
      </c>
      <c r="Q183" s="61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3">
      <c r="A184" s="28">
        <v>1277</v>
      </c>
      <c r="B184" s="28">
        <v>162897</v>
      </c>
      <c r="C184" s="129" t="s">
        <v>1510</v>
      </c>
      <c r="D184" s="128" t="s">
        <v>437</v>
      </c>
      <c r="E184" s="128" t="s">
        <v>145</v>
      </c>
      <c r="F184" s="29">
        <v>26196</v>
      </c>
      <c r="G184" s="56" t="str">
        <f t="shared" ca="1" si="24"/>
        <v>V 45</v>
      </c>
      <c r="H184" s="28">
        <f t="shared" ca="1" si="25"/>
        <v>49</v>
      </c>
      <c r="J184" s="38" t="str">
        <f t="shared" si="19"/>
        <v>Óscar Serrão</v>
      </c>
      <c r="K184" s="39">
        <f t="shared" si="20"/>
        <v>1277</v>
      </c>
      <c r="L184" s="39">
        <f t="shared" si="21"/>
        <v>162897</v>
      </c>
      <c r="M184" s="40">
        <f t="shared" si="26"/>
        <v>26196</v>
      </c>
      <c r="N184" s="41" t="str">
        <f t="shared" ca="1" si="27"/>
        <v>V 45</v>
      </c>
      <c r="O184" s="41" t="str">
        <f t="shared" si="22"/>
        <v>M</v>
      </c>
      <c r="P184" s="60" t="str">
        <f t="shared" si="23"/>
        <v>CDCPM</v>
      </c>
      <c r="Q184" s="61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3">
      <c r="A185" s="28">
        <v>1288</v>
      </c>
      <c r="B185" s="28">
        <v>138055</v>
      </c>
      <c r="C185" s="129" t="s">
        <v>1511</v>
      </c>
      <c r="D185" s="128" t="s">
        <v>437</v>
      </c>
      <c r="E185" s="128" t="s">
        <v>145</v>
      </c>
      <c r="F185" s="29">
        <v>30857</v>
      </c>
      <c r="G185" s="56" t="str">
        <f t="shared" ca="1" si="24"/>
        <v>V 35</v>
      </c>
      <c r="H185" s="28">
        <f t="shared" ca="1" si="25"/>
        <v>36</v>
      </c>
      <c r="J185" s="38" t="str">
        <f t="shared" si="19"/>
        <v>Emídio Correia</v>
      </c>
      <c r="K185" s="39">
        <f t="shared" si="20"/>
        <v>1288</v>
      </c>
      <c r="L185" s="39">
        <f t="shared" si="21"/>
        <v>138055</v>
      </c>
      <c r="M185" s="40">
        <f t="shared" si="26"/>
        <v>30857</v>
      </c>
      <c r="N185" s="41" t="str">
        <f t="shared" ca="1" si="27"/>
        <v>V 35</v>
      </c>
      <c r="O185" s="41" t="str">
        <f t="shared" si="22"/>
        <v>M</v>
      </c>
      <c r="P185" s="60" t="str">
        <f t="shared" si="23"/>
        <v>CDCPM</v>
      </c>
      <c r="Q185" s="61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3">
      <c r="A186" s="28">
        <v>1179</v>
      </c>
      <c r="B186" s="28">
        <v>152114</v>
      </c>
      <c r="C186" s="129" t="s">
        <v>871</v>
      </c>
      <c r="D186" s="128" t="s">
        <v>545</v>
      </c>
      <c r="E186" s="128" t="s">
        <v>145</v>
      </c>
      <c r="F186" s="29">
        <v>30209</v>
      </c>
      <c r="G186" s="56" t="str">
        <f t="shared" ca="1" si="24"/>
        <v>V 35</v>
      </c>
      <c r="H186" s="28">
        <f t="shared" ca="1" si="25"/>
        <v>38</v>
      </c>
      <c r="J186" s="38" t="str">
        <f t="shared" si="19"/>
        <v>Arthur Castro</v>
      </c>
      <c r="K186" s="39">
        <f t="shared" si="20"/>
        <v>1179</v>
      </c>
      <c r="L186" s="39">
        <f t="shared" si="21"/>
        <v>152114</v>
      </c>
      <c r="M186" s="40">
        <f t="shared" si="26"/>
        <v>30209</v>
      </c>
      <c r="N186" s="41" t="str">
        <f t="shared" ca="1" si="27"/>
        <v>V 35</v>
      </c>
      <c r="O186" s="41" t="str">
        <f t="shared" si="22"/>
        <v>M</v>
      </c>
      <c r="P186" s="60" t="str">
        <f t="shared" si="23"/>
        <v>CEE-M</v>
      </c>
      <c r="Q186" s="61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3">
      <c r="A187" s="28">
        <v>138</v>
      </c>
      <c r="B187" s="28">
        <v>149547</v>
      </c>
      <c r="C187" s="129" t="s">
        <v>785</v>
      </c>
      <c r="D187" s="128" t="s">
        <v>545</v>
      </c>
      <c r="E187" s="128" t="s">
        <v>146</v>
      </c>
      <c r="F187" s="29">
        <v>33735</v>
      </c>
      <c r="G187" s="56" t="str">
        <f t="shared" ca="1" si="24"/>
        <v>Sénior</v>
      </c>
      <c r="H187" s="28">
        <f t="shared" ca="1" si="25"/>
        <v>28</v>
      </c>
      <c r="J187" s="38" t="str">
        <f t="shared" si="19"/>
        <v>Isabel Rodrigues</v>
      </c>
      <c r="K187" s="39">
        <f t="shared" si="20"/>
        <v>138</v>
      </c>
      <c r="L187" s="39">
        <f t="shared" si="21"/>
        <v>149547</v>
      </c>
      <c r="M187" s="40">
        <f t="shared" si="26"/>
        <v>33735</v>
      </c>
      <c r="N187" s="41" t="str">
        <f t="shared" ca="1" si="27"/>
        <v>Sénior</v>
      </c>
      <c r="O187" s="41" t="str">
        <f t="shared" si="22"/>
        <v>F</v>
      </c>
      <c r="P187" s="60" t="str">
        <f t="shared" si="23"/>
        <v>CEE-M</v>
      </c>
      <c r="Q187" s="61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3">
      <c r="A188" s="28">
        <v>1167</v>
      </c>
      <c r="B188" s="28">
        <v>124858</v>
      </c>
      <c r="C188" s="129" t="s">
        <v>141</v>
      </c>
      <c r="D188" s="128" t="s">
        <v>545</v>
      </c>
      <c r="E188" s="128" t="s">
        <v>145</v>
      </c>
      <c r="F188" s="29">
        <v>27510</v>
      </c>
      <c r="G188" s="56" t="str">
        <f t="shared" ca="1" si="24"/>
        <v>V 45</v>
      </c>
      <c r="H188" s="28">
        <f t="shared" ca="1" si="25"/>
        <v>45</v>
      </c>
      <c r="J188" s="38" t="str">
        <f t="shared" si="19"/>
        <v>Pedro Costa</v>
      </c>
      <c r="K188" s="39">
        <f t="shared" si="20"/>
        <v>1167</v>
      </c>
      <c r="L188" s="39">
        <f t="shared" si="21"/>
        <v>124858</v>
      </c>
      <c r="M188" s="40">
        <f t="shared" si="26"/>
        <v>27510</v>
      </c>
      <c r="N188" s="41" t="str">
        <f t="shared" ca="1" si="27"/>
        <v>V 45</v>
      </c>
      <c r="O188" s="41" t="str">
        <f t="shared" si="22"/>
        <v>M</v>
      </c>
      <c r="P188" s="60" t="str">
        <f t="shared" si="23"/>
        <v>CEE-M</v>
      </c>
      <c r="Q188" s="61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3">
      <c r="A189" s="28">
        <v>1178</v>
      </c>
      <c r="B189" s="28">
        <v>124756</v>
      </c>
      <c r="C189" s="129" t="s">
        <v>109</v>
      </c>
      <c r="D189" s="128" t="s">
        <v>545</v>
      </c>
      <c r="E189" s="128" t="s">
        <v>145</v>
      </c>
      <c r="F189" s="29">
        <v>29654</v>
      </c>
      <c r="G189" s="56" t="str">
        <f t="shared" ca="1" si="24"/>
        <v>V 40</v>
      </c>
      <c r="H189" s="28">
        <f t="shared" ca="1" si="25"/>
        <v>40</v>
      </c>
      <c r="J189" s="38" t="str">
        <f t="shared" si="19"/>
        <v>Gabriel Silva</v>
      </c>
      <c r="K189" s="39">
        <f t="shared" si="20"/>
        <v>1178</v>
      </c>
      <c r="L189" s="39">
        <f t="shared" si="21"/>
        <v>124756</v>
      </c>
      <c r="M189" s="40">
        <f t="shared" si="26"/>
        <v>29654</v>
      </c>
      <c r="N189" s="41" t="str">
        <f t="shared" ca="1" si="27"/>
        <v>V 40</v>
      </c>
      <c r="O189" s="41" t="str">
        <f t="shared" si="22"/>
        <v>M</v>
      </c>
      <c r="P189" s="60" t="str">
        <f t="shared" si="23"/>
        <v>CEE-M</v>
      </c>
      <c r="Q189" s="61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3">
      <c r="A190" s="28">
        <v>1186</v>
      </c>
      <c r="B190" s="28">
        <v>161524</v>
      </c>
      <c r="C190" s="129" t="s">
        <v>1373</v>
      </c>
      <c r="D190" s="128" t="s">
        <v>545</v>
      </c>
      <c r="E190" s="128" t="s">
        <v>145</v>
      </c>
      <c r="F190" s="29">
        <v>34764</v>
      </c>
      <c r="G190" s="56" t="str">
        <f t="shared" ca="1" si="24"/>
        <v>Sénior</v>
      </c>
      <c r="H190" s="28">
        <f t="shared" ca="1" si="25"/>
        <v>26</v>
      </c>
      <c r="J190" s="38" t="str">
        <f t="shared" si="19"/>
        <v>João P. Azevedo</v>
      </c>
      <c r="K190" s="39">
        <f t="shared" si="20"/>
        <v>1186</v>
      </c>
      <c r="L190" s="39">
        <f t="shared" si="21"/>
        <v>161524</v>
      </c>
      <c r="M190" s="40">
        <f t="shared" si="26"/>
        <v>34764</v>
      </c>
      <c r="N190" s="41" t="str">
        <f t="shared" ca="1" si="27"/>
        <v>Sénior</v>
      </c>
      <c r="O190" s="41" t="str">
        <f t="shared" si="22"/>
        <v>M</v>
      </c>
      <c r="P190" s="60" t="str">
        <f t="shared" si="23"/>
        <v>CEE-M</v>
      </c>
      <c r="Q190" s="61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3">
      <c r="A191" s="28">
        <v>1456</v>
      </c>
      <c r="B191" s="28">
        <v>129517</v>
      </c>
      <c r="C191" s="129" t="s">
        <v>725</v>
      </c>
      <c r="D191" s="128" t="s">
        <v>97</v>
      </c>
      <c r="E191" s="128" t="s">
        <v>145</v>
      </c>
      <c r="F191" s="29">
        <v>24016</v>
      </c>
      <c r="G191" s="56" t="str">
        <f t="shared" ca="1" si="24"/>
        <v>V 55</v>
      </c>
      <c r="H191" s="28">
        <f t="shared" ca="1" si="25"/>
        <v>55</v>
      </c>
      <c r="J191" s="38" t="str">
        <f t="shared" si="19"/>
        <v>Carlos Francisco</v>
      </c>
      <c r="K191" s="39">
        <f t="shared" si="20"/>
        <v>1456</v>
      </c>
      <c r="L191" s="39">
        <f t="shared" si="21"/>
        <v>129517</v>
      </c>
      <c r="M191" s="40">
        <f t="shared" si="26"/>
        <v>24016</v>
      </c>
      <c r="N191" s="41" t="str">
        <f t="shared" ca="1" si="27"/>
        <v>V 55</v>
      </c>
      <c r="O191" s="41" t="str">
        <f t="shared" si="22"/>
        <v>M</v>
      </c>
      <c r="P191" s="60" t="str">
        <f t="shared" si="23"/>
        <v>ADRAP</v>
      </c>
      <c r="Q191" s="6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3">
      <c r="A192" s="28">
        <v>1743</v>
      </c>
      <c r="B192" s="28">
        <v>145502</v>
      </c>
      <c r="C192" s="129" t="s">
        <v>851</v>
      </c>
      <c r="D192" s="128" t="s">
        <v>97</v>
      </c>
      <c r="E192" s="128" t="s">
        <v>145</v>
      </c>
      <c r="F192" s="29">
        <v>37988</v>
      </c>
      <c r="G192" s="56" t="str">
        <f t="shared" ca="1" si="24"/>
        <v>Juvenil</v>
      </c>
      <c r="H192" s="28">
        <f t="shared" ca="1" si="25"/>
        <v>17</v>
      </c>
      <c r="J192" s="38" t="str">
        <f t="shared" si="19"/>
        <v>Tomás Rosário</v>
      </c>
      <c r="K192" s="39">
        <f t="shared" si="20"/>
        <v>1743</v>
      </c>
      <c r="L192" s="39">
        <f t="shared" si="21"/>
        <v>145502</v>
      </c>
      <c r="M192" s="40">
        <f t="shared" si="26"/>
        <v>37988</v>
      </c>
      <c r="N192" s="41" t="str">
        <f t="shared" ca="1" si="27"/>
        <v>Juvenil</v>
      </c>
      <c r="O192" s="41" t="str">
        <f t="shared" si="22"/>
        <v>M</v>
      </c>
      <c r="P192" s="60" t="str">
        <f t="shared" si="23"/>
        <v>ADRAP</v>
      </c>
      <c r="Q192" s="61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3">
      <c r="A193" s="28">
        <v>1480</v>
      </c>
      <c r="B193" s="28">
        <v>142218</v>
      </c>
      <c r="C193" s="129" t="s">
        <v>534</v>
      </c>
      <c r="D193" s="128" t="s">
        <v>97</v>
      </c>
      <c r="E193" s="128" t="s">
        <v>145</v>
      </c>
      <c r="F193" s="29">
        <v>30125</v>
      </c>
      <c r="G193" s="56" t="str">
        <f t="shared" ca="1" si="24"/>
        <v>V 35</v>
      </c>
      <c r="H193" s="28">
        <f t="shared" ca="1" si="25"/>
        <v>38</v>
      </c>
      <c r="J193" s="38" t="str">
        <f t="shared" si="19"/>
        <v>Marco P. Rodrigues</v>
      </c>
      <c r="K193" s="39">
        <f t="shared" si="20"/>
        <v>1480</v>
      </c>
      <c r="L193" s="39">
        <f t="shared" si="21"/>
        <v>142218</v>
      </c>
      <c r="M193" s="40">
        <f t="shared" si="26"/>
        <v>30125</v>
      </c>
      <c r="N193" s="41" t="str">
        <f t="shared" ca="1" si="27"/>
        <v>V 35</v>
      </c>
      <c r="O193" s="41" t="str">
        <f t="shared" si="22"/>
        <v>M</v>
      </c>
      <c r="P193" s="60" t="str">
        <f t="shared" si="23"/>
        <v>ADRAP</v>
      </c>
      <c r="Q193" s="61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3">
      <c r="A194" s="28">
        <v>1454</v>
      </c>
      <c r="B194" s="28">
        <v>126088</v>
      </c>
      <c r="C194" s="129" t="s">
        <v>174</v>
      </c>
      <c r="D194" s="128" t="s">
        <v>97</v>
      </c>
      <c r="E194" s="128" t="s">
        <v>145</v>
      </c>
      <c r="F194" s="29">
        <v>21650</v>
      </c>
      <c r="G194" s="56" t="str">
        <f t="shared" ca="1" si="24"/>
        <v>V 60</v>
      </c>
      <c r="H194" s="28">
        <f t="shared" ca="1" si="25"/>
        <v>62</v>
      </c>
      <c r="J194" s="38" t="str">
        <f t="shared" ref="J194:J257" si="28">C194</f>
        <v>João M. Pereira</v>
      </c>
      <c r="K194" s="39">
        <f t="shared" ref="K194:K257" si="29">A194</f>
        <v>1454</v>
      </c>
      <c r="L194" s="39">
        <f t="shared" ref="L194:L257" si="30">B194</f>
        <v>126088</v>
      </c>
      <c r="M194" s="40">
        <f t="shared" si="26"/>
        <v>21650</v>
      </c>
      <c r="N194" s="41" t="str">
        <f t="shared" ca="1" si="27"/>
        <v>V 60</v>
      </c>
      <c r="O194" s="41" t="str">
        <f t="shared" ref="O194:O257" si="31">E194</f>
        <v>M</v>
      </c>
      <c r="P194" s="60" t="str">
        <f t="shared" ref="P194:P257" si="32">D194</f>
        <v>ADRAP</v>
      </c>
      <c r="Q194" s="61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3">
      <c r="A195" s="28">
        <v>2250</v>
      </c>
      <c r="B195" s="28">
        <v>152913</v>
      </c>
      <c r="C195" s="129" t="s">
        <v>853</v>
      </c>
      <c r="D195" s="128" t="s">
        <v>97</v>
      </c>
      <c r="E195" s="128" t="s">
        <v>145</v>
      </c>
      <c r="F195" s="29">
        <v>40406</v>
      </c>
      <c r="G195" s="5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B",IF(YEAR(TODAY())-YEAR(F195)&lt;14,"Infantil",IF(YEAR(TODAY())-YEAR(F195)&lt;16,"Iniciado",IF(YEAR(TODAY())-YEAR(F195)&lt;18,"Juvenil",IF(YEAR(TODAY())-YEAR(F195)&lt;20,"Júnior",IF(YEAR(TODAY())-YEAR(F195)&lt;23,"sub 23",IF(ROUNDDOWN(INT(TODAY()-F195)/365.25,0)&lt;35,"Sénior",IF(ROUNDDOWN(INT(TODAY()-F195)/365.25,0)&lt;40,"V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65",IF(ROUNDDOWN(INT(TODAY()-F195)/365.25,0)&lt;75,"V 70",IF(ROUNDDOWN(INT(TODAY()-F195)/365.25,0)&lt;80,"V 75",IF(ROUNDDOWN(INT(TODAY()-F195)/365.25,0)&lt;85,"V 80",IF(ROUNDDOWN(INT(TODAY()-F195)/365.25,0)&lt;90,"V 85",IF(ROUNDDOWN(INT(TODAY()-F195)/365.25,0)&lt;95,"V 90",IF(ROUNDDOWN(INT(TODAY()-F195)/365.25,0)&lt;100,"V 95",IF(ROUNDDOWN(INT(TODAY()-F195)/365.25,0)&gt;=100,"V 100",""))))))))))))))))))))))),"")</f>
        <v>Benjamim B</v>
      </c>
      <c r="H195" s="28">
        <f t="shared" ref="H195:H258" ca="1" si="34">IFERROR(IF($A195&gt;0,ROUNDDOWN(INT(TODAY()-F195)/365.25,0),""),"")</f>
        <v>10</v>
      </c>
      <c r="J195" s="38" t="str">
        <f t="shared" si="28"/>
        <v>Matias Olival</v>
      </c>
      <c r="K195" s="39">
        <f t="shared" si="29"/>
        <v>2250</v>
      </c>
      <c r="L195" s="39">
        <f t="shared" si="30"/>
        <v>152913</v>
      </c>
      <c r="M195" s="40">
        <f t="shared" ref="M195:M258" si="35">F195</f>
        <v>40406</v>
      </c>
      <c r="N195" s="41" t="str">
        <f t="shared" ref="N195:N258" ca="1" si="36">G195</f>
        <v>Benjamim B</v>
      </c>
      <c r="O195" s="41" t="str">
        <f t="shared" si="31"/>
        <v>M</v>
      </c>
      <c r="P195" s="60" t="str">
        <f t="shared" si="32"/>
        <v>ADRAP</v>
      </c>
      <c r="Q195" s="61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3">
      <c r="A196" s="28">
        <v>1464</v>
      </c>
      <c r="B196" s="28">
        <v>129491</v>
      </c>
      <c r="C196" s="129" t="s">
        <v>91</v>
      </c>
      <c r="D196" s="128" t="s">
        <v>97</v>
      </c>
      <c r="E196" s="128" t="s">
        <v>145</v>
      </c>
      <c r="F196" s="29">
        <v>26119</v>
      </c>
      <c r="G196" s="56" t="str">
        <f t="shared" ca="1" si="33"/>
        <v>V 45</v>
      </c>
      <c r="H196" s="28">
        <f t="shared" ca="1" si="34"/>
        <v>49</v>
      </c>
      <c r="J196" s="38" t="str">
        <f t="shared" si="28"/>
        <v>Agostinho Spínola</v>
      </c>
      <c r="K196" s="39">
        <f t="shared" si="29"/>
        <v>1464</v>
      </c>
      <c r="L196" s="39">
        <f t="shared" si="30"/>
        <v>129491</v>
      </c>
      <c r="M196" s="40">
        <f t="shared" si="35"/>
        <v>26119</v>
      </c>
      <c r="N196" s="41" t="str">
        <f t="shared" ca="1" si="36"/>
        <v>V 45</v>
      </c>
      <c r="O196" s="41" t="str">
        <f t="shared" si="31"/>
        <v>M</v>
      </c>
      <c r="P196" s="60" t="str">
        <f t="shared" si="32"/>
        <v>ADRAP</v>
      </c>
      <c r="Q196" s="61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3">
      <c r="A197" s="28">
        <v>1468</v>
      </c>
      <c r="B197" s="28">
        <v>141607</v>
      </c>
      <c r="C197" s="129" t="s">
        <v>513</v>
      </c>
      <c r="D197" s="128" t="s">
        <v>97</v>
      </c>
      <c r="E197" s="128" t="s">
        <v>145</v>
      </c>
      <c r="F197" s="29">
        <v>28115</v>
      </c>
      <c r="G197" s="56" t="str">
        <f t="shared" ca="1" si="33"/>
        <v>V 40</v>
      </c>
      <c r="H197" s="28">
        <f t="shared" ca="1" si="34"/>
        <v>44</v>
      </c>
      <c r="J197" s="38" t="str">
        <f t="shared" si="28"/>
        <v>Roberto Gouveia</v>
      </c>
      <c r="K197" s="39">
        <f t="shared" si="29"/>
        <v>1468</v>
      </c>
      <c r="L197" s="39">
        <f t="shared" si="30"/>
        <v>141607</v>
      </c>
      <c r="M197" s="40">
        <f t="shared" si="35"/>
        <v>28115</v>
      </c>
      <c r="N197" s="41" t="str">
        <f t="shared" ca="1" si="36"/>
        <v>V 40</v>
      </c>
      <c r="O197" s="41" t="str">
        <f t="shared" si="31"/>
        <v>M</v>
      </c>
      <c r="P197" s="60" t="str">
        <f t="shared" si="32"/>
        <v>ADRAP</v>
      </c>
      <c r="Q197" s="61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3">
      <c r="A198" s="28">
        <v>1549</v>
      </c>
      <c r="B198" s="28">
        <v>126781</v>
      </c>
      <c r="C198" s="129" t="s">
        <v>1363</v>
      </c>
      <c r="D198" s="128" t="s">
        <v>97</v>
      </c>
      <c r="E198" s="128" t="s">
        <v>145</v>
      </c>
      <c r="F198" s="29">
        <v>19582</v>
      </c>
      <c r="G198" s="56" t="str">
        <f t="shared" ca="1" si="33"/>
        <v>V 65</v>
      </c>
      <c r="H198" s="28">
        <f t="shared" ca="1" si="34"/>
        <v>67</v>
      </c>
      <c r="J198" s="38" t="str">
        <f t="shared" si="28"/>
        <v>António Lima</v>
      </c>
      <c r="K198" s="39">
        <f t="shared" si="29"/>
        <v>1549</v>
      </c>
      <c r="L198" s="39">
        <f t="shared" si="30"/>
        <v>126781</v>
      </c>
      <c r="M198" s="40">
        <f t="shared" si="35"/>
        <v>19582</v>
      </c>
      <c r="N198" s="41" t="str">
        <f t="shared" ca="1" si="36"/>
        <v>V 65</v>
      </c>
      <c r="O198" s="41" t="str">
        <f t="shared" si="31"/>
        <v>M</v>
      </c>
      <c r="P198" s="60" t="str">
        <f t="shared" si="32"/>
        <v>ADRAP</v>
      </c>
      <c r="Q198" s="61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3">
      <c r="A199" s="28">
        <v>1501</v>
      </c>
      <c r="B199" s="28">
        <v>130426</v>
      </c>
      <c r="C199" s="129" t="s">
        <v>92</v>
      </c>
      <c r="D199" s="128" t="s">
        <v>97</v>
      </c>
      <c r="E199" s="128" t="s">
        <v>145</v>
      </c>
      <c r="F199" s="29">
        <v>33519</v>
      </c>
      <c r="G199" s="56" t="str">
        <f t="shared" ca="1" si="33"/>
        <v>Sénior</v>
      </c>
      <c r="H199" s="28">
        <f t="shared" ca="1" si="34"/>
        <v>29</v>
      </c>
      <c r="J199" s="38" t="str">
        <f t="shared" si="28"/>
        <v>Bruno Moniz</v>
      </c>
      <c r="K199" s="39">
        <f t="shared" si="29"/>
        <v>1501</v>
      </c>
      <c r="L199" s="39">
        <f t="shared" si="30"/>
        <v>130426</v>
      </c>
      <c r="M199" s="40">
        <f t="shared" si="35"/>
        <v>33519</v>
      </c>
      <c r="N199" s="41" t="str">
        <f t="shared" ca="1" si="36"/>
        <v>Sénior</v>
      </c>
      <c r="O199" s="41" t="str">
        <f t="shared" si="31"/>
        <v>M</v>
      </c>
      <c r="P199" s="60" t="str">
        <f t="shared" si="32"/>
        <v>ADRAP</v>
      </c>
      <c r="Q199" s="61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3">
      <c r="A200" s="28">
        <v>1484</v>
      </c>
      <c r="B200" s="28">
        <v>163097</v>
      </c>
      <c r="C200" s="129" t="s">
        <v>1596</v>
      </c>
      <c r="D200" s="128" t="s">
        <v>97</v>
      </c>
      <c r="E200" s="128" t="s">
        <v>145</v>
      </c>
      <c r="F200" s="29">
        <v>36642</v>
      </c>
      <c r="G200" s="56" t="str">
        <f t="shared" ca="1" si="33"/>
        <v>sub 23</v>
      </c>
      <c r="H200" s="28">
        <f t="shared" ca="1" si="34"/>
        <v>20</v>
      </c>
      <c r="J200" s="38" t="str">
        <f t="shared" si="28"/>
        <v>L. Fernando Gonçalves</v>
      </c>
      <c r="K200" s="39">
        <f t="shared" si="29"/>
        <v>1484</v>
      </c>
      <c r="L200" s="39">
        <f t="shared" si="30"/>
        <v>163097</v>
      </c>
      <c r="M200" s="40">
        <f t="shared" si="35"/>
        <v>36642</v>
      </c>
      <c r="N200" s="41" t="str">
        <f t="shared" ca="1" si="36"/>
        <v>sub 23</v>
      </c>
      <c r="O200" s="41" t="str">
        <f t="shared" si="31"/>
        <v>M</v>
      </c>
      <c r="P200" s="60" t="str">
        <f t="shared" si="32"/>
        <v>ADRAP</v>
      </c>
      <c r="Q200" s="61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3">
      <c r="A201" s="28">
        <v>25</v>
      </c>
      <c r="B201" s="28">
        <v>127272</v>
      </c>
      <c r="C201" s="129" t="s">
        <v>1588</v>
      </c>
      <c r="D201" s="128" t="s">
        <v>97</v>
      </c>
      <c r="E201" s="128" t="s">
        <v>146</v>
      </c>
      <c r="F201" s="29">
        <v>36458</v>
      </c>
      <c r="G201" s="56" t="str">
        <f t="shared" ca="1" si="33"/>
        <v>sub 23</v>
      </c>
      <c r="H201" s="28">
        <f t="shared" ca="1" si="34"/>
        <v>21</v>
      </c>
      <c r="J201" s="38" t="str">
        <f t="shared" si="28"/>
        <v>Ana Granja</v>
      </c>
      <c r="K201" s="39">
        <f t="shared" si="29"/>
        <v>25</v>
      </c>
      <c r="L201" s="39">
        <f t="shared" si="30"/>
        <v>127272</v>
      </c>
      <c r="M201" s="40">
        <f t="shared" si="35"/>
        <v>36458</v>
      </c>
      <c r="N201" s="41" t="str">
        <f t="shared" ca="1" si="36"/>
        <v>sub 23</v>
      </c>
      <c r="O201" s="41" t="str">
        <f t="shared" si="31"/>
        <v>F</v>
      </c>
      <c r="P201" s="60" t="str">
        <f t="shared" si="32"/>
        <v>ADRAP</v>
      </c>
      <c r="Q201" s="6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3">
      <c r="A202" s="28">
        <v>20</v>
      </c>
      <c r="B202" s="28">
        <v>125280</v>
      </c>
      <c r="C202" s="129" t="s">
        <v>1591</v>
      </c>
      <c r="D202" s="128" t="s">
        <v>97</v>
      </c>
      <c r="E202" s="128" t="s">
        <v>146</v>
      </c>
      <c r="F202" s="29">
        <v>33705</v>
      </c>
      <c r="G202" s="56" t="str">
        <f t="shared" ca="1" si="33"/>
        <v>Sénior</v>
      </c>
      <c r="H202" s="28">
        <f t="shared" ca="1" si="34"/>
        <v>29</v>
      </c>
      <c r="J202" s="38" t="str">
        <f t="shared" si="28"/>
        <v>Shaina Mags</v>
      </c>
      <c r="K202" s="39">
        <f t="shared" si="29"/>
        <v>20</v>
      </c>
      <c r="L202" s="39">
        <f t="shared" si="30"/>
        <v>125280</v>
      </c>
      <c r="M202" s="40">
        <f t="shared" si="35"/>
        <v>33705</v>
      </c>
      <c r="N202" s="41" t="str">
        <f t="shared" ca="1" si="36"/>
        <v>Sénior</v>
      </c>
      <c r="O202" s="41" t="str">
        <f t="shared" si="31"/>
        <v>F</v>
      </c>
      <c r="P202" s="60" t="str">
        <f t="shared" si="32"/>
        <v>ADRAP</v>
      </c>
      <c r="Q202" s="61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3">
      <c r="A203" s="28">
        <v>31</v>
      </c>
      <c r="B203" s="28">
        <v>147145</v>
      </c>
      <c r="C203" s="129" t="s">
        <v>1192</v>
      </c>
      <c r="D203" s="128" t="s">
        <v>97</v>
      </c>
      <c r="E203" s="128" t="s">
        <v>146</v>
      </c>
      <c r="F203" s="29">
        <v>25195</v>
      </c>
      <c r="G203" s="56" t="str">
        <f t="shared" ca="1" si="33"/>
        <v>V 50</v>
      </c>
      <c r="H203" s="28">
        <f t="shared" ca="1" si="34"/>
        <v>52</v>
      </c>
      <c r="J203" s="38" t="str">
        <f t="shared" si="28"/>
        <v>Rosa Mendonça</v>
      </c>
      <c r="K203" s="39">
        <f t="shared" si="29"/>
        <v>31</v>
      </c>
      <c r="L203" s="39">
        <f t="shared" si="30"/>
        <v>147145</v>
      </c>
      <c r="M203" s="40">
        <f t="shared" si="35"/>
        <v>25195</v>
      </c>
      <c r="N203" s="41" t="str">
        <f t="shared" ca="1" si="36"/>
        <v>V 50</v>
      </c>
      <c r="O203" s="41" t="str">
        <f t="shared" si="31"/>
        <v>F</v>
      </c>
      <c r="P203" s="60" t="str">
        <f t="shared" si="32"/>
        <v>ADRAP</v>
      </c>
      <c r="Q203" s="61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3">
      <c r="A204" s="28">
        <v>973</v>
      </c>
      <c r="B204" s="28">
        <v>146644</v>
      </c>
      <c r="C204" s="129" t="s">
        <v>1324</v>
      </c>
      <c r="D204" s="128" t="s">
        <v>148</v>
      </c>
      <c r="E204" s="128" t="s">
        <v>145</v>
      </c>
      <c r="F204" s="29">
        <v>33088</v>
      </c>
      <c r="G204" s="56" t="str">
        <f t="shared" ca="1" si="33"/>
        <v>Sénior</v>
      </c>
      <c r="H204" s="28">
        <f t="shared" ca="1" si="34"/>
        <v>30</v>
      </c>
      <c r="J204" s="38" t="str">
        <f t="shared" si="28"/>
        <v>Rúben Freitas</v>
      </c>
      <c r="K204" s="39">
        <f t="shared" si="29"/>
        <v>973</v>
      </c>
      <c r="L204" s="39">
        <f t="shared" si="30"/>
        <v>146644</v>
      </c>
      <c r="M204" s="40">
        <f t="shared" si="35"/>
        <v>33088</v>
      </c>
      <c r="N204" s="41" t="str">
        <f t="shared" ca="1" si="36"/>
        <v>Sénior</v>
      </c>
      <c r="O204" s="41" t="str">
        <f t="shared" si="31"/>
        <v>M</v>
      </c>
      <c r="P204" s="60" t="str">
        <f t="shared" si="32"/>
        <v>IND-M</v>
      </c>
      <c r="Q204" s="61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3">
      <c r="A205" s="28">
        <v>100</v>
      </c>
      <c r="B205" s="28">
        <v>139394</v>
      </c>
      <c r="C205" s="129" t="s">
        <v>441</v>
      </c>
      <c r="D205" s="128" t="s">
        <v>437</v>
      </c>
      <c r="E205" s="128" t="s">
        <v>146</v>
      </c>
      <c r="F205" s="29">
        <v>31679</v>
      </c>
      <c r="G205" s="56" t="str">
        <f t="shared" ca="1" si="33"/>
        <v>Sénior</v>
      </c>
      <c r="H205" s="28">
        <f t="shared" ca="1" si="34"/>
        <v>34</v>
      </c>
      <c r="J205" s="38" t="str">
        <f t="shared" si="28"/>
        <v>Marilisa Fernandes</v>
      </c>
      <c r="K205" s="39">
        <f t="shared" si="29"/>
        <v>100</v>
      </c>
      <c r="L205" s="39">
        <f t="shared" si="30"/>
        <v>139394</v>
      </c>
      <c r="M205" s="40">
        <f t="shared" si="35"/>
        <v>31679</v>
      </c>
      <c r="N205" s="41" t="str">
        <f t="shared" ca="1" si="36"/>
        <v>Sénior</v>
      </c>
      <c r="O205" s="41" t="str">
        <f t="shared" si="31"/>
        <v>F</v>
      </c>
      <c r="P205" s="60" t="str">
        <f t="shared" si="32"/>
        <v>CDCPM</v>
      </c>
      <c r="Q205" s="61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3">
      <c r="A206" s="28">
        <v>1333</v>
      </c>
      <c r="B206" s="28">
        <v>129793</v>
      </c>
      <c r="C206" s="129" t="s">
        <v>208</v>
      </c>
      <c r="D206" s="128" t="s">
        <v>158</v>
      </c>
      <c r="E206" s="128" t="s">
        <v>145</v>
      </c>
      <c r="F206" s="29">
        <v>28665</v>
      </c>
      <c r="G206" s="56" t="str">
        <f t="shared" ca="1" si="33"/>
        <v>V 40</v>
      </c>
      <c r="H206" s="28">
        <f t="shared" ca="1" si="34"/>
        <v>42</v>
      </c>
      <c r="J206" s="38" t="str">
        <f t="shared" si="28"/>
        <v>João M. Gomes</v>
      </c>
      <c r="K206" s="39">
        <f t="shared" si="29"/>
        <v>1333</v>
      </c>
      <c r="L206" s="39">
        <f t="shared" si="30"/>
        <v>129793</v>
      </c>
      <c r="M206" s="40">
        <f t="shared" si="35"/>
        <v>28665</v>
      </c>
      <c r="N206" s="41" t="str">
        <f t="shared" ca="1" si="36"/>
        <v>V 40</v>
      </c>
      <c r="O206" s="41" t="str">
        <f t="shared" si="31"/>
        <v>M</v>
      </c>
      <c r="P206" s="60" t="str">
        <f t="shared" si="32"/>
        <v>CAMAD</v>
      </c>
      <c r="Q206" s="61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3">
      <c r="A207" s="28">
        <v>1324</v>
      </c>
      <c r="B207" s="28">
        <v>128688</v>
      </c>
      <c r="C207" s="129" t="s">
        <v>209</v>
      </c>
      <c r="D207" s="128" t="s">
        <v>158</v>
      </c>
      <c r="E207" s="128" t="s">
        <v>145</v>
      </c>
      <c r="F207" s="29">
        <v>23961</v>
      </c>
      <c r="G207" s="56" t="str">
        <f t="shared" ca="1" si="33"/>
        <v>V 55</v>
      </c>
      <c r="H207" s="28">
        <f t="shared" ca="1" si="34"/>
        <v>55</v>
      </c>
      <c r="J207" s="38" t="str">
        <f t="shared" si="28"/>
        <v>José Ribeiro</v>
      </c>
      <c r="K207" s="39">
        <f t="shared" si="29"/>
        <v>1324</v>
      </c>
      <c r="L207" s="39">
        <f t="shared" si="30"/>
        <v>128688</v>
      </c>
      <c r="M207" s="40">
        <f t="shared" si="35"/>
        <v>23961</v>
      </c>
      <c r="N207" s="41" t="str">
        <f t="shared" ca="1" si="36"/>
        <v>V 55</v>
      </c>
      <c r="O207" s="41" t="str">
        <f t="shared" si="31"/>
        <v>M</v>
      </c>
      <c r="P207" s="60" t="str">
        <f t="shared" si="32"/>
        <v>CAMAD</v>
      </c>
      <c r="Q207" s="61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3">
      <c r="A208" s="28">
        <v>1330</v>
      </c>
      <c r="B208" s="28">
        <v>127804</v>
      </c>
      <c r="C208" s="129" t="s">
        <v>206</v>
      </c>
      <c r="D208" s="128" t="s">
        <v>158</v>
      </c>
      <c r="E208" s="128" t="s">
        <v>145</v>
      </c>
      <c r="F208" s="29">
        <v>26481</v>
      </c>
      <c r="G208" s="56" t="str">
        <f t="shared" ca="1" si="33"/>
        <v>V 45</v>
      </c>
      <c r="H208" s="28">
        <f t="shared" ca="1" si="34"/>
        <v>48</v>
      </c>
      <c r="J208" s="38" t="str">
        <f t="shared" si="28"/>
        <v>António Olival</v>
      </c>
      <c r="K208" s="39">
        <f t="shared" si="29"/>
        <v>1330</v>
      </c>
      <c r="L208" s="39">
        <f t="shared" si="30"/>
        <v>127804</v>
      </c>
      <c r="M208" s="40">
        <f t="shared" si="35"/>
        <v>26481</v>
      </c>
      <c r="N208" s="41" t="str">
        <f t="shared" ca="1" si="36"/>
        <v>V 45</v>
      </c>
      <c r="O208" s="41" t="str">
        <f t="shared" si="31"/>
        <v>M</v>
      </c>
      <c r="P208" s="60" t="str">
        <f t="shared" si="32"/>
        <v>CAMAD</v>
      </c>
      <c r="Q208" s="61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3">
      <c r="A209" s="28">
        <v>1329</v>
      </c>
      <c r="B209" s="28">
        <v>161192</v>
      </c>
      <c r="C209" s="129" t="s">
        <v>1359</v>
      </c>
      <c r="D209" s="128" t="s">
        <v>158</v>
      </c>
      <c r="E209" s="128" t="s">
        <v>145</v>
      </c>
      <c r="F209" s="29">
        <v>27014</v>
      </c>
      <c r="G209" s="56" t="str">
        <f t="shared" ca="1" si="33"/>
        <v>V 45</v>
      </c>
      <c r="H209" s="28">
        <f t="shared" ca="1" si="34"/>
        <v>47</v>
      </c>
      <c r="J209" s="38" t="str">
        <f t="shared" si="28"/>
        <v>Marco Ascensão</v>
      </c>
      <c r="K209" s="39">
        <f t="shared" si="29"/>
        <v>1329</v>
      </c>
      <c r="L209" s="39">
        <f t="shared" si="30"/>
        <v>161192</v>
      </c>
      <c r="M209" s="40">
        <f t="shared" si="35"/>
        <v>27014</v>
      </c>
      <c r="N209" s="41" t="str">
        <f t="shared" ca="1" si="36"/>
        <v>V 45</v>
      </c>
      <c r="O209" s="41" t="str">
        <f t="shared" si="31"/>
        <v>M</v>
      </c>
      <c r="P209" s="60" t="str">
        <f t="shared" si="32"/>
        <v>CAMAD</v>
      </c>
      <c r="Q209" s="61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3">
      <c r="A210" s="28">
        <v>1334</v>
      </c>
      <c r="B210" s="28">
        <v>158226</v>
      </c>
      <c r="C210" s="129" t="s">
        <v>1143</v>
      </c>
      <c r="D210" s="128" t="s">
        <v>158</v>
      </c>
      <c r="E210" s="128" t="s">
        <v>145</v>
      </c>
      <c r="F210" s="29">
        <v>33415</v>
      </c>
      <c r="G210" s="56" t="str">
        <f t="shared" ca="1" si="33"/>
        <v>Sénior</v>
      </c>
      <c r="H210" s="28">
        <f t="shared" ca="1" si="34"/>
        <v>29</v>
      </c>
      <c r="J210" s="38" t="str">
        <f t="shared" si="28"/>
        <v>Norberto Ribeiro</v>
      </c>
      <c r="K210" s="39">
        <f t="shared" si="29"/>
        <v>1334</v>
      </c>
      <c r="L210" s="39">
        <f t="shared" si="30"/>
        <v>158226</v>
      </c>
      <c r="M210" s="40">
        <f t="shared" si="35"/>
        <v>33415</v>
      </c>
      <c r="N210" s="41" t="str">
        <f t="shared" ca="1" si="36"/>
        <v>Sénior</v>
      </c>
      <c r="O210" s="41" t="str">
        <f t="shared" si="31"/>
        <v>M</v>
      </c>
      <c r="P210" s="60" t="str">
        <f t="shared" si="32"/>
        <v>CAMAD</v>
      </c>
      <c r="Q210" s="61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3">
      <c r="A211" s="28">
        <v>1332</v>
      </c>
      <c r="B211" s="28">
        <v>146750</v>
      </c>
      <c r="C211" s="129" t="s">
        <v>601</v>
      </c>
      <c r="D211" s="128" t="s">
        <v>158</v>
      </c>
      <c r="E211" s="128" t="s">
        <v>145</v>
      </c>
      <c r="F211" s="29">
        <v>28360</v>
      </c>
      <c r="G211" s="56" t="str">
        <f t="shared" ca="1" si="33"/>
        <v>V 40</v>
      </c>
      <c r="H211" s="28">
        <f t="shared" ca="1" si="34"/>
        <v>43</v>
      </c>
      <c r="J211" s="38" t="str">
        <f t="shared" si="28"/>
        <v>Ricardo Matos</v>
      </c>
      <c r="K211" s="39">
        <f t="shared" si="29"/>
        <v>1332</v>
      </c>
      <c r="L211" s="39">
        <f t="shared" si="30"/>
        <v>146750</v>
      </c>
      <c r="M211" s="40">
        <f t="shared" si="35"/>
        <v>28360</v>
      </c>
      <c r="N211" s="41" t="str">
        <f t="shared" ca="1" si="36"/>
        <v>V 40</v>
      </c>
      <c r="O211" s="41" t="str">
        <f t="shared" si="31"/>
        <v>M</v>
      </c>
      <c r="P211" s="60" t="str">
        <f t="shared" si="32"/>
        <v>CAMAD</v>
      </c>
      <c r="Q211" s="6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3">
      <c r="A212" s="28">
        <v>240</v>
      </c>
      <c r="B212" s="28">
        <v>139664</v>
      </c>
      <c r="C212" s="129" t="s">
        <v>753</v>
      </c>
      <c r="D212" s="128" t="s">
        <v>148</v>
      </c>
      <c r="E212" s="128" t="s">
        <v>146</v>
      </c>
      <c r="F212" s="29">
        <v>31599</v>
      </c>
      <c r="G212" s="56" t="str">
        <f t="shared" ca="1" si="33"/>
        <v>Sénior</v>
      </c>
      <c r="H212" s="28">
        <f t="shared" ca="1" si="34"/>
        <v>34</v>
      </c>
      <c r="J212" s="38" t="str">
        <f t="shared" si="28"/>
        <v>Carlota Escórcio</v>
      </c>
      <c r="K212" s="39">
        <f t="shared" si="29"/>
        <v>240</v>
      </c>
      <c r="L212" s="39">
        <f t="shared" si="30"/>
        <v>139664</v>
      </c>
      <c r="M212" s="40">
        <f t="shared" si="35"/>
        <v>31599</v>
      </c>
      <c r="N212" s="41" t="str">
        <f t="shared" ca="1" si="36"/>
        <v>Sénior</v>
      </c>
      <c r="O212" s="41" t="str">
        <f t="shared" si="31"/>
        <v>F</v>
      </c>
      <c r="P212" s="60" t="str">
        <f t="shared" si="32"/>
        <v>IND-M</v>
      </c>
      <c r="Q212" s="61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3">
      <c r="A213" s="28">
        <v>1772</v>
      </c>
      <c r="B213" s="28">
        <v>163194</v>
      </c>
      <c r="C213" s="129" t="s">
        <v>1423</v>
      </c>
      <c r="D213" s="128" t="s">
        <v>124</v>
      </c>
      <c r="E213" s="128" t="s">
        <v>146</v>
      </c>
      <c r="F213" s="29">
        <v>39394</v>
      </c>
      <c r="G213" s="56" t="str">
        <f t="shared" ca="1" si="33"/>
        <v>Iniciado</v>
      </c>
      <c r="H213" s="28">
        <f t="shared" ca="1" si="34"/>
        <v>13</v>
      </c>
      <c r="J213" s="38" t="str">
        <f t="shared" si="28"/>
        <v>Margarida C. Serrão</v>
      </c>
      <c r="K213" s="39">
        <f t="shared" si="29"/>
        <v>1772</v>
      </c>
      <c r="L213" s="39">
        <f t="shared" si="30"/>
        <v>163194</v>
      </c>
      <c r="M213" s="40">
        <f t="shared" si="35"/>
        <v>39394</v>
      </c>
      <c r="N213" s="41" t="str">
        <f t="shared" ca="1" si="36"/>
        <v>Iniciado</v>
      </c>
      <c r="O213" s="41" t="str">
        <f t="shared" si="31"/>
        <v>F</v>
      </c>
      <c r="P213" s="60" t="str">
        <f t="shared" si="32"/>
        <v>CSM</v>
      </c>
      <c r="Q213" s="61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3">
      <c r="A214" s="28">
        <v>1717</v>
      </c>
      <c r="B214" s="28">
        <v>135879</v>
      </c>
      <c r="C214" s="129" t="s">
        <v>412</v>
      </c>
      <c r="D214" s="128" t="s">
        <v>124</v>
      </c>
      <c r="E214" s="128" t="s">
        <v>145</v>
      </c>
      <c r="F214" s="29">
        <v>38341</v>
      </c>
      <c r="G214" s="56" t="str">
        <f t="shared" ca="1" si="33"/>
        <v>Juvenil</v>
      </c>
      <c r="H214" s="28">
        <f t="shared" ca="1" si="34"/>
        <v>16</v>
      </c>
      <c r="J214" s="38" t="str">
        <f t="shared" si="28"/>
        <v>João R. Pereira</v>
      </c>
      <c r="K214" s="39">
        <f t="shared" si="29"/>
        <v>1717</v>
      </c>
      <c r="L214" s="39">
        <f t="shared" si="30"/>
        <v>135879</v>
      </c>
      <c r="M214" s="40">
        <f t="shared" si="35"/>
        <v>38341</v>
      </c>
      <c r="N214" s="41" t="str">
        <f t="shared" ca="1" si="36"/>
        <v>Juvenil</v>
      </c>
      <c r="O214" s="41" t="str">
        <f t="shared" si="31"/>
        <v>M</v>
      </c>
      <c r="P214" s="60" t="str">
        <f t="shared" si="32"/>
        <v>CSM</v>
      </c>
      <c r="Q214" s="61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3">
      <c r="A215" s="28">
        <v>1038</v>
      </c>
      <c r="B215" s="28">
        <v>158348</v>
      </c>
      <c r="C215" s="129" t="s">
        <v>1118</v>
      </c>
      <c r="D215" s="128" t="s">
        <v>124</v>
      </c>
      <c r="E215" s="128" t="s">
        <v>145</v>
      </c>
      <c r="F215" s="29">
        <v>32677</v>
      </c>
      <c r="G215" s="56" t="str">
        <f t="shared" ca="1" si="33"/>
        <v>Sénior</v>
      </c>
      <c r="H215" s="28">
        <f t="shared" ca="1" si="34"/>
        <v>31</v>
      </c>
      <c r="J215" s="38" t="str">
        <f t="shared" si="28"/>
        <v>Élvio Escórcio</v>
      </c>
      <c r="K215" s="39">
        <f t="shared" si="29"/>
        <v>1038</v>
      </c>
      <c r="L215" s="39">
        <f t="shared" si="30"/>
        <v>158348</v>
      </c>
      <c r="M215" s="40">
        <f t="shared" si="35"/>
        <v>32677</v>
      </c>
      <c r="N215" s="41" t="str">
        <f t="shared" ca="1" si="36"/>
        <v>Sénior</v>
      </c>
      <c r="O215" s="41" t="str">
        <f t="shared" si="31"/>
        <v>M</v>
      </c>
      <c r="P215" s="60" t="str">
        <f t="shared" si="32"/>
        <v>CSM</v>
      </c>
      <c r="Q215" s="61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3">
      <c r="A216" s="28">
        <v>1773</v>
      </c>
      <c r="B216" s="28">
        <v>154307</v>
      </c>
      <c r="C216" s="129" t="s">
        <v>952</v>
      </c>
      <c r="D216" s="128" t="s">
        <v>124</v>
      </c>
      <c r="E216" s="128" t="s">
        <v>146</v>
      </c>
      <c r="F216" s="29">
        <v>39332</v>
      </c>
      <c r="G216" s="56" t="str">
        <f t="shared" ca="1" si="33"/>
        <v>Iniciado</v>
      </c>
      <c r="H216" s="28">
        <f t="shared" ca="1" si="34"/>
        <v>13</v>
      </c>
      <c r="J216" s="38" t="str">
        <f t="shared" si="28"/>
        <v>Francisca Cortinhas</v>
      </c>
      <c r="K216" s="39">
        <f t="shared" si="29"/>
        <v>1773</v>
      </c>
      <c r="L216" s="39">
        <f t="shared" si="30"/>
        <v>154307</v>
      </c>
      <c r="M216" s="40">
        <f t="shared" si="35"/>
        <v>39332</v>
      </c>
      <c r="N216" s="41" t="str">
        <f t="shared" ca="1" si="36"/>
        <v>Iniciado</v>
      </c>
      <c r="O216" s="41" t="str">
        <f t="shared" si="31"/>
        <v>F</v>
      </c>
      <c r="P216" s="60" t="str">
        <f t="shared" si="32"/>
        <v>CSM</v>
      </c>
      <c r="Q216" s="61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3">
      <c r="A217" s="28">
        <v>1774</v>
      </c>
      <c r="B217" s="28">
        <v>152945</v>
      </c>
      <c r="C217" s="129" t="s">
        <v>833</v>
      </c>
      <c r="D217" s="128" t="s">
        <v>124</v>
      </c>
      <c r="E217" s="128" t="s">
        <v>146</v>
      </c>
      <c r="F217" s="29">
        <v>38912</v>
      </c>
      <c r="G217" s="56" t="str">
        <f t="shared" ca="1" si="33"/>
        <v>Iniciado</v>
      </c>
      <c r="H217" s="28">
        <f t="shared" ca="1" si="34"/>
        <v>14</v>
      </c>
      <c r="J217" s="38" t="str">
        <f t="shared" si="28"/>
        <v>Ana Dantas</v>
      </c>
      <c r="K217" s="39">
        <f t="shared" si="29"/>
        <v>1774</v>
      </c>
      <c r="L217" s="39">
        <f t="shared" si="30"/>
        <v>152945</v>
      </c>
      <c r="M217" s="40">
        <f t="shared" si="35"/>
        <v>38912</v>
      </c>
      <c r="N217" s="41" t="str">
        <f t="shared" ca="1" si="36"/>
        <v>Iniciado</v>
      </c>
      <c r="O217" s="41" t="str">
        <f t="shared" si="31"/>
        <v>F</v>
      </c>
      <c r="P217" s="60" t="str">
        <f t="shared" si="32"/>
        <v>CSM</v>
      </c>
      <c r="Q217" s="61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3">
      <c r="A218" s="28">
        <v>1570</v>
      </c>
      <c r="B218" s="28">
        <v>157466</v>
      </c>
      <c r="C218" s="129" t="s">
        <v>1083</v>
      </c>
      <c r="D218" s="128" t="s">
        <v>124</v>
      </c>
      <c r="E218" s="128" t="s">
        <v>146</v>
      </c>
      <c r="F218" s="29">
        <v>38689</v>
      </c>
      <c r="G218" s="56" t="str">
        <f t="shared" ca="1" si="33"/>
        <v>Juvenil</v>
      </c>
      <c r="H218" s="28">
        <f t="shared" ca="1" si="34"/>
        <v>15</v>
      </c>
      <c r="J218" s="38" t="str">
        <f t="shared" si="28"/>
        <v>Sofia R. Gonçalves</v>
      </c>
      <c r="K218" s="39">
        <f t="shared" si="29"/>
        <v>1570</v>
      </c>
      <c r="L218" s="39">
        <f t="shared" si="30"/>
        <v>157466</v>
      </c>
      <c r="M218" s="40">
        <f t="shared" si="35"/>
        <v>38689</v>
      </c>
      <c r="N218" s="41" t="str">
        <f t="shared" ca="1" si="36"/>
        <v>Juvenil</v>
      </c>
      <c r="O218" s="41" t="str">
        <f t="shared" si="31"/>
        <v>F</v>
      </c>
      <c r="P218" s="60" t="str">
        <f t="shared" si="32"/>
        <v>CSM</v>
      </c>
      <c r="Q218" s="61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3">
      <c r="A219" s="28">
        <v>1716</v>
      </c>
      <c r="B219" s="28">
        <v>161802</v>
      </c>
      <c r="C219" s="129" t="s">
        <v>1396</v>
      </c>
      <c r="D219" s="128" t="s">
        <v>124</v>
      </c>
      <c r="E219" s="128" t="s">
        <v>145</v>
      </c>
      <c r="F219" s="29">
        <v>38511</v>
      </c>
      <c r="G219" s="56" t="str">
        <f t="shared" ca="1" si="33"/>
        <v>Juvenil</v>
      </c>
      <c r="H219" s="28">
        <f t="shared" ca="1" si="34"/>
        <v>15</v>
      </c>
      <c r="J219" s="38" t="str">
        <f t="shared" si="28"/>
        <v>Afonso L. Freitas</v>
      </c>
      <c r="K219" s="39">
        <f t="shared" si="29"/>
        <v>1716</v>
      </c>
      <c r="L219" s="39">
        <f t="shared" si="30"/>
        <v>161802</v>
      </c>
      <c r="M219" s="40">
        <f t="shared" si="35"/>
        <v>38511</v>
      </c>
      <c r="N219" s="41" t="str">
        <f t="shared" ca="1" si="36"/>
        <v>Juvenil</v>
      </c>
      <c r="O219" s="41" t="str">
        <f t="shared" si="31"/>
        <v>M</v>
      </c>
      <c r="P219" s="60" t="str">
        <f t="shared" si="32"/>
        <v>CSM</v>
      </c>
      <c r="Q219" s="61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3">
      <c r="A220" s="28">
        <v>1037</v>
      </c>
      <c r="B220" s="28">
        <v>153913</v>
      </c>
      <c r="C220" s="129" t="s">
        <v>1343</v>
      </c>
      <c r="D220" s="128" t="s">
        <v>124</v>
      </c>
      <c r="E220" s="128" t="s">
        <v>145</v>
      </c>
      <c r="F220" s="29">
        <v>31999</v>
      </c>
      <c r="G220" s="56" t="str">
        <f t="shared" ca="1" si="33"/>
        <v>Sénior</v>
      </c>
      <c r="H220" s="28">
        <f t="shared" ca="1" si="34"/>
        <v>33</v>
      </c>
      <c r="J220" s="38" t="str">
        <f t="shared" si="28"/>
        <v>Bruno E. Pereira</v>
      </c>
      <c r="K220" s="39">
        <f t="shared" si="29"/>
        <v>1037</v>
      </c>
      <c r="L220" s="39">
        <f t="shared" si="30"/>
        <v>153913</v>
      </c>
      <c r="M220" s="40">
        <f t="shared" si="35"/>
        <v>31999</v>
      </c>
      <c r="N220" s="41" t="str">
        <f t="shared" ca="1" si="36"/>
        <v>Sénior</v>
      </c>
      <c r="O220" s="41" t="str">
        <f t="shared" si="31"/>
        <v>M</v>
      </c>
      <c r="P220" s="60" t="str">
        <f t="shared" si="32"/>
        <v>CSM</v>
      </c>
      <c r="Q220" s="61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3">
      <c r="A221" s="28">
        <v>1036</v>
      </c>
      <c r="B221" s="28">
        <v>160017</v>
      </c>
      <c r="C221" s="129" t="s">
        <v>1244</v>
      </c>
      <c r="D221" s="128" t="s">
        <v>124</v>
      </c>
      <c r="E221" s="128" t="s">
        <v>145</v>
      </c>
      <c r="F221" s="29">
        <v>31903</v>
      </c>
      <c r="G221" s="56" t="str">
        <f t="shared" ca="1" si="33"/>
        <v>Sénior</v>
      </c>
      <c r="H221" s="28">
        <f t="shared" ca="1" si="34"/>
        <v>33</v>
      </c>
      <c r="J221" s="38" t="str">
        <f t="shared" si="28"/>
        <v>Luís A. Vasconcelos</v>
      </c>
      <c r="K221" s="39">
        <f t="shared" si="29"/>
        <v>1036</v>
      </c>
      <c r="L221" s="39">
        <f t="shared" si="30"/>
        <v>160017</v>
      </c>
      <c r="M221" s="40">
        <f t="shared" si="35"/>
        <v>31903</v>
      </c>
      <c r="N221" s="41" t="str">
        <f t="shared" ca="1" si="36"/>
        <v>Sénior</v>
      </c>
      <c r="O221" s="41" t="str">
        <f t="shared" si="31"/>
        <v>M</v>
      </c>
      <c r="P221" s="60" t="str">
        <f t="shared" si="32"/>
        <v>CSM</v>
      </c>
      <c r="Q221" s="6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3">
      <c r="A222" s="28">
        <v>1031</v>
      </c>
      <c r="B222" s="28">
        <v>147725</v>
      </c>
      <c r="C222" s="129" t="s">
        <v>750</v>
      </c>
      <c r="D222" s="128" t="s">
        <v>124</v>
      </c>
      <c r="E222" s="128" t="s">
        <v>145</v>
      </c>
      <c r="F222" s="29">
        <v>28682</v>
      </c>
      <c r="G222" s="56" t="str">
        <f t="shared" ca="1" si="33"/>
        <v>V 40</v>
      </c>
      <c r="H222" s="28">
        <f t="shared" ca="1" si="34"/>
        <v>42</v>
      </c>
      <c r="J222" s="38" t="str">
        <f t="shared" si="28"/>
        <v>Rúben Teixeira</v>
      </c>
      <c r="K222" s="39">
        <f t="shared" si="29"/>
        <v>1031</v>
      </c>
      <c r="L222" s="39">
        <f t="shared" si="30"/>
        <v>147725</v>
      </c>
      <c r="M222" s="40">
        <f t="shared" si="35"/>
        <v>28682</v>
      </c>
      <c r="N222" s="41" t="str">
        <f t="shared" ca="1" si="36"/>
        <v>V 40</v>
      </c>
      <c r="O222" s="41" t="str">
        <f t="shared" si="31"/>
        <v>M</v>
      </c>
      <c r="P222" s="60" t="str">
        <f t="shared" si="32"/>
        <v>CSM</v>
      </c>
      <c r="Q222" s="61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3">
      <c r="A223" s="28">
        <v>1546</v>
      </c>
      <c r="B223" s="28">
        <v>146714</v>
      </c>
      <c r="C223" s="129" t="s">
        <v>1641</v>
      </c>
      <c r="D223" s="128" t="s">
        <v>1646</v>
      </c>
      <c r="E223" s="128" t="s">
        <v>145</v>
      </c>
      <c r="F223" s="29">
        <v>29486</v>
      </c>
      <c r="G223" s="56" t="str">
        <f t="shared" ca="1" si="33"/>
        <v>V 40</v>
      </c>
      <c r="H223" s="28">
        <f t="shared" ca="1" si="34"/>
        <v>40</v>
      </c>
      <c r="J223" s="38" t="str">
        <f t="shared" si="28"/>
        <v>Tóni Fernandes</v>
      </c>
      <c r="K223" s="39">
        <f t="shared" si="29"/>
        <v>1546</v>
      </c>
      <c r="L223" s="39">
        <f t="shared" si="30"/>
        <v>146714</v>
      </c>
      <c r="M223" s="40">
        <f t="shared" si="35"/>
        <v>29486</v>
      </c>
      <c r="N223" s="41" t="str">
        <f t="shared" ca="1" si="36"/>
        <v>V 40</v>
      </c>
      <c r="O223" s="41" t="str">
        <f t="shared" si="31"/>
        <v>M</v>
      </c>
      <c r="P223" s="60" t="str">
        <f t="shared" si="32"/>
        <v>AAM-M</v>
      </c>
      <c r="Q223" s="61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3">
      <c r="A224" s="28">
        <v>249</v>
      </c>
      <c r="B224" s="28">
        <v>157601</v>
      </c>
      <c r="C224" s="129" t="s">
        <v>1167</v>
      </c>
      <c r="D224" s="128" t="s">
        <v>148</v>
      </c>
      <c r="E224" s="128" t="s">
        <v>146</v>
      </c>
      <c r="F224" s="29">
        <v>24000</v>
      </c>
      <c r="G224" s="56" t="str">
        <f t="shared" ca="1" si="33"/>
        <v>V 55</v>
      </c>
      <c r="H224" s="28">
        <f t="shared" ca="1" si="34"/>
        <v>55</v>
      </c>
      <c r="J224" s="38" t="str">
        <f t="shared" si="28"/>
        <v>Dores França</v>
      </c>
      <c r="K224" s="39">
        <f t="shared" si="29"/>
        <v>249</v>
      </c>
      <c r="L224" s="39">
        <f t="shared" si="30"/>
        <v>157601</v>
      </c>
      <c r="M224" s="40">
        <f t="shared" si="35"/>
        <v>24000</v>
      </c>
      <c r="N224" s="41" t="str">
        <f t="shared" ca="1" si="36"/>
        <v>V 55</v>
      </c>
      <c r="O224" s="41" t="str">
        <f t="shared" si="31"/>
        <v>F</v>
      </c>
      <c r="P224" s="60" t="str">
        <f t="shared" si="32"/>
        <v>IND-M</v>
      </c>
      <c r="Q224" s="61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3">
      <c r="A225" s="28">
        <v>1899</v>
      </c>
      <c r="B225" s="28">
        <v>125410</v>
      </c>
      <c r="C225" s="129" t="s">
        <v>908</v>
      </c>
      <c r="D225" s="128" t="s">
        <v>123</v>
      </c>
      <c r="E225" s="128" t="s">
        <v>145</v>
      </c>
      <c r="F225" s="29">
        <v>39043</v>
      </c>
      <c r="G225" s="56" t="str">
        <f t="shared" ca="1" si="33"/>
        <v>Iniciado</v>
      </c>
      <c r="H225" s="28">
        <f t="shared" ca="1" si="34"/>
        <v>14</v>
      </c>
      <c r="J225" s="38" t="str">
        <f t="shared" si="28"/>
        <v>Bernardo S Fernandes</v>
      </c>
      <c r="K225" s="39">
        <f t="shared" si="29"/>
        <v>1899</v>
      </c>
      <c r="L225" s="39">
        <f t="shared" si="30"/>
        <v>125410</v>
      </c>
      <c r="M225" s="40">
        <f t="shared" si="35"/>
        <v>39043</v>
      </c>
      <c r="N225" s="41" t="str">
        <f t="shared" ca="1" si="36"/>
        <v>Iniciado</v>
      </c>
      <c r="O225" s="41" t="str">
        <f t="shared" si="31"/>
        <v>M</v>
      </c>
      <c r="P225" s="60" t="str">
        <f t="shared" si="32"/>
        <v>AJS</v>
      </c>
      <c r="Q225" s="61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3">
      <c r="A226" s="28">
        <v>1560</v>
      </c>
      <c r="B226" s="28">
        <v>125402</v>
      </c>
      <c r="C226" s="129" t="s">
        <v>903</v>
      </c>
      <c r="D226" s="128" t="s">
        <v>123</v>
      </c>
      <c r="E226" s="128" t="s">
        <v>146</v>
      </c>
      <c r="F226" s="29">
        <v>38483</v>
      </c>
      <c r="G226" s="56" t="str">
        <f t="shared" ca="1" si="33"/>
        <v>Juvenil</v>
      </c>
      <c r="H226" s="28">
        <f t="shared" ca="1" si="34"/>
        <v>15</v>
      </c>
      <c r="J226" s="38" t="str">
        <f t="shared" si="28"/>
        <v>Catarina Fernandes</v>
      </c>
      <c r="K226" s="39">
        <f t="shared" si="29"/>
        <v>1560</v>
      </c>
      <c r="L226" s="39">
        <f t="shared" si="30"/>
        <v>125402</v>
      </c>
      <c r="M226" s="40">
        <f t="shared" si="35"/>
        <v>38483</v>
      </c>
      <c r="N226" s="41" t="str">
        <f t="shared" ca="1" si="36"/>
        <v>Juvenil</v>
      </c>
      <c r="O226" s="41" t="str">
        <f t="shared" si="31"/>
        <v>F</v>
      </c>
      <c r="P226" s="60" t="str">
        <f t="shared" si="32"/>
        <v>AJS</v>
      </c>
      <c r="Q226" s="61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3">
      <c r="A227" s="28">
        <v>1756</v>
      </c>
      <c r="B227" s="28">
        <v>155457</v>
      </c>
      <c r="C227" s="129" t="s">
        <v>1036</v>
      </c>
      <c r="D227" s="128" t="s">
        <v>123</v>
      </c>
      <c r="E227" s="128" t="s">
        <v>146</v>
      </c>
      <c r="F227" s="29">
        <v>38861</v>
      </c>
      <c r="G227" s="56" t="str">
        <f t="shared" ca="1" si="33"/>
        <v>Iniciado</v>
      </c>
      <c r="H227" s="28">
        <f t="shared" ca="1" si="34"/>
        <v>14</v>
      </c>
      <c r="J227" s="38" t="str">
        <f t="shared" si="28"/>
        <v>Mónica Dias</v>
      </c>
      <c r="K227" s="39">
        <f t="shared" si="29"/>
        <v>1756</v>
      </c>
      <c r="L227" s="39">
        <f t="shared" si="30"/>
        <v>155457</v>
      </c>
      <c r="M227" s="40">
        <f t="shared" si="35"/>
        <v>38861</v>
      </c>
      <c r="N227" s="41" t="str">
        <f t="shared" ca="1" si="36"/>
        <v>Iniciado</v>
      </c>
      <c r="O227" s="41" t="str">
        <f t="shared" si="31"/>
        <v>F</v>
      </c>
      <c r="P227" s="60" t="str">
        <f t="shared" si="32"/>
        <v>AJS</v>
      </c>
      <c r="Q227" s="61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3">
      <c r="A228" s="28">
        <v>1553</v>
      </c>
      <c r="B228" s="28">
        <v>139216</v>
      </c>
      <c r="C228" s="129" t="s">
        <v>451</v>
      </c>
      <c r="D228" s="128" t="s">
        <v>123</v>
      </c>
      <c r="E228" s="128" t="s">
        <v>146</v>
      </c>
      <c r="F228" s="29">
        <v>37824</v>
      </c>
      <c r="G228" s="56" t="str">
        <f t="shared" ca="1" si="33"/>
        <v>Júnior</v>
      </c>
      <c r="H228" s="28">
        <f t="shared" ca="1" si="34"/>
        <v>17</v>
      </c>
      <c r="J228" s="38" t="str">
        <f t="shared" si="28"/>
        <v>Daniela M. Pinto</v>
      </c>
      <c r="K228" s="39">
        <f t="shared" si="29"/>
        <v>1553</v>
      </c>
      <c r="L228" s="39">
        <f t="shared" si="30"/>
        <v>139216</v>
      </c>
      <c r="M228" s="40">
        <f t="shared" si="35"/>
        <v>37824</v>
      </c>
      <c r="N228" s="41" t="str">
        <f t="shared" ca="1" si="36"/>
        <v>Júnior</v>
      </c>
      <c r="O228" s="41" t="str">
        <f t="shared" si="31"/>
        <v>F</v>
      </c>
      <c r="P228" s="60" t="str">
        <f t="shared" si="32"/>
        <v>AJS</v>
      </c>
      <c r="Q228" s="61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3">
      <c r="A229" s="28">
        <v>1554</v>
      </c>
      <c r="B229" s="28">
        <v>139217</v>
      </c>
      <c r="C229" s="129" t="s">
        <v>452</v>
      </c>
      <c r="D229" s="128" t="s">
        <v>123</v>
      </c>
      <c r="E229" s="128" t="s">
        <v>146</v>
      </c>
      <c r="F229" s="29">
        <v>37824</v>
      </c>
      <c r="G229" s="56" t="str">
        <f t="shared" ca="1" si="33"/>
        <v>Júnior</v>
      </c>
      <c r="H229" s="28">
        <f t="shared" ca="1" si="34"/>
        <v>17</v>
      </c>
      <c r="J229" s="38" t="str">
        <f t="shared" si="28"/>
        <v>Ana Beatriz Pinto</v>
      </c>
      <c r="K229" s="39">
        <f t="shared" si="29"/>
        <v>1554</v>
      </c>
      <c r="L229" s="39">
        <f t="shared" si="30"/>
        <v>139217</v>
      </c>
      <c r="M229" s="40">
        <f t="shared" si="35"/>
        <v>37824</v>
      </c>
      <c r="N229" s="41" t="str">
        <f t="shared" ca="1" si="36"/>
        <v>Júnior</v>
      </c>
      <c r="O229" s="41" t="str">
        <f t="shared" si="31"/>
        <v>F</v>
      </c>
      <c r="P229" s="60" t="str">
        <f t="shared" si="32"/>
        <v>AJS</v>
      </c>
      <c r="Q229" s="61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3">
      <c r="A230" s="28">
        <v>44</v>
      </c>
      <c r="B230" s="28">
        <v>131285</v>
      </c>
      <c r="C230" s="129" t="s">
        <v>182</v>
      </c>
      <c r="D230" s="128" t="s">
        <v>123</v>
      </c>
      <c r="E230" s="128" t="s">
        <v>146</v>
      </c>
      <c r="F230" s="29">
        <v>37096</v>
      </c>
      <c r="G230" s="56" t="str">
        <f t="shared" ca="1" si="33"/>
        <v>sub 23</v>
      </c>
      <c r="H230" s="28">
        <f t="shared" ca="1" si="34"/>
        <v>19</v>
      </c>
      <c r="J230" s="38" t="str">
        <f t="shared" si="28"/>
        <v>Joana F. Sousa</v>
      </c>
      <c r="K230" s="39">
        <f t="shared" si="29"/>
        <v>44</v>
      </c>
      <c r="L230" s="39">
        <f t="shared" si="30"/>
        <v>131285</v>
      </c>
      <c r="M230" s="40">
        <f t="shared" si="35"/>
        <v>37096</v>
      </c>
      <c r="N230" s="41" t="str">
        <f t="shared" ca="1" si="36"/>
        <v>sub 23</v>
      </c>
      <c r="O230" s="41" t="str">
        <f t="shared" si="31"/>
        <v>F</v>
      </c>
      <c r="P230" s="60" t="str">
        <f t="shared" si="32"/>
        <v>AJS</v>
      </c>
      <c r="Q230" s="61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3">
      <c r="A231" s="28">
        <v>38</v>
      </c>
      <c r="B231" s="28">
        <v>128553</v>
      </c>
      <c r="C231" s="129" t="s">
        <v>117</v>
      </c>
      <c r="D231" s="128" t="s">
        <v>123</v>
      </c>
      <c r="E231" s="128" t="s">
        <v>146</v>
      </c>
      <c r="F231" s="29">
        <v>32166</v>
      </c>
      <c r="G231" s="56" t="str">
        <f t="shared" ca="1" si="33"/>
        <v>Sénior</v>
      </c>
      <c r="H231" s="28">
        <f t="shared" ca="1" si="34"/>
        <v>33</v>
      </c>
      <c r="J231" s="38" t="str">
        <f t="shared" si="28"/>
        <v>Mariana Mendonça</v>
      </c>
      <c r="K231" s="39">
        <f t="shared" si="29"/>
        <v>38</v>
      </c>
      <c r="L231" s="39">
        <f t="shared" si="30"/>
        <v>128553</v>
      </c>
      <c r="M231" s="40">
        <f t="shared" si="35"/>
        <v>32166</v>
      </c>
      <c r="N231" s="41" t="str">
        <f t="shared" ca="1" si="36"/>
        <v>Sénior</v>
      </c>
      <c r="O231" s="41" t="str">
        <f t="shared" si="31"/>
        <v>F</v>
      </c>
      <c r="P231" s="60" t="str">
        <f t="shared" si="32"/>
        <v>AJS</v>
      </c>
      <c r="Q231" s="6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3">
      <c r="A232" s="28">
        <v>51</v>
      </c>
      <c r="B232" s="28">
        <v>158204</v>
      </c>
      <c r="C232" s="129" t="s">
        <v>307</v>
      </c>
      <c r="D232" s="128" t="s">
        <v>123</v>
      </c>
      <c r="E232" s="128" t="s">
        <v>146</v>
      </c>
      <c r="F232" s="29">
        <v>29662</v>
      </c>
      <c r="G232" s="56" t="str">
        <f t="shared" ca="1" si="33"/>
        <v>V 40</v>
      </c>
      <c r="H232" s="28">
        <f t="shared" ca="1" si="34"/>
        <v>40</v>
      </c>
      <c r="I232" s="34"/>
      <c r="J232" s="38" t="str">
        <f t="shared" si="28"/>
        <v>Sónia Faria</v>
      </c>
      <c r="K232" s="39">
        <f t="shared" si="29"/>
        <v>51</v>
      </c>
      <c r="L232" s="39">
        <f t="shared" si="30"/>
        <v>158204</v>
      </c>
      <c r="M232" s="40">
        <f t="shared" si="35"/>
        <v>29662</v>
      </c>
      <c r="N232" s="41" t="str">
        <f t="shared" ca="1" si="36"/>
        <v>V 40</v>
      </c>
      <c r="O232" s="41" t="str">
        <f t="shared" si="31"/>
        <v>F</v>
      </c>
      <c r="P232" s="60" t="str">
        <f t="shared" si="32"/>
        <v>AJS</v>
      </c>
      <c r="Q232" s="61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3">
      <c r="A233" s="28">
        <v>59</v>
      </c>
      <c r="B233" s="28">
        <v>147371</v>
      </c>
      <c r="C233" s="129" t="s">
        <v>593</v>
      </c>
      <c r="D233" s="128" t="s">
        <v>123</v>
      </c>
      <c r="E233" s="128" t="s">
        <v>146</v>
      </c>
      <c r="F233" s="29">
        <v>26834</v>
      </c>
      <c r="G233" s="56" t="str">
        <f t="shared" ca="1" si="33"/>
        <v>V 45</v>
      </c>
      <c r="H233" s="28">
        <f t="shared" ca="1" si="34"/>
        <v>47</v>
      </c>
      <c r="J233" s="38" t="str">
        <f t="shared" si="28"/>
        <v>Teresa Ornelas</v>
      </c>
      <c r="K233" s="39">
        <f t="shared" si="29"/>
        <v>59</v>
      </c>
      <c r="L233" s="39">
        <f t="shared" si="30"/>
        <v>147371</v>
      </c>
      <c r="M233" s="40">
        <f t="shared" si="35"/>
        <v>26834</v>
      </c>
      <c r="N233" s="41" t="str">
        <f t="shared" ca="1" si="36"/>
        <v>V 45</v>
      </c>
      <c r="O233" s="41" t="str">
        <f t="shared" si="31"/>
        <v>F</v>
      </c>
      <c r="P233" s="60" t="str">
        <f t="shared" si="32"/>
        <v>AJS</v>
      </c>
      <c r="Q233" s="61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3">
      <c r="A234" s="28">
        <v>52</v>
      </c>
      <c r="B234" s="28">
        <v>128713</v>
      </c>
      <c r="C234" s="129" t="s">
        <v>102</v>
      </c>
      <c r="D234" s="128" t="s">
        <v>123</v>
      </c>
      <c r="E234" s="128" t="s">
        <v>146</v>
      </c>
      <c r="F234" s="29">
        <v>30219</v>
      </c>
      <c r="G234" s="56" t="str">
        <f t="shared" ca="1" si="33"/>
        <v>V 35</v>
      </c>
      <c r="H234" s="28">
        <f t="shared" ca="1" si="34"/>
        <v>38</v>
      </c>
      <c r="J234" s="38" t="str">
        <f t="shared" si="28"/>
        <v>Carina Araújo</v>
      </c>
      <c r="K234" s="39">
        <f t="shared" si="29"/>
        <v>52</v>
      </c>
      <c r="L234" s="39">
        <f t="shared" si="30"/>
        <v>128713</v>
      </c>
      <c r="M234" s="40">
        <f t="shared" si="35"/>
        <v>30219</v>
      </c>
      <c r="N234" s="41" t="str">
        <f t="shared" ca="1" si="36"/>
        <v>V 35</v>
      </c>
      <c r="O234" s="41" t="str">
        <f t="shared" si="31"/>
        <v>F</v>
      </c>
      <c r="P234" s="60" t="str">
        <f t="shared" si="32"/>
        <v>AJS</v>
      </c>
      <c r="Q234" s="61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3">
      <c r="A235" s="28">
        <v>56</v>
      </c>
      <c r="B235" s="28">
        <v>125525</v>
      </c>
      <c r="C235" s="129" t="s">
        <v>974</v>
      </c>
      <c r="D235" s="128" t="s">
        <v>123</v>
      </c>
      <c r="E235" s="128" t="s">
        <v>146</v>
      </c>
      <c r="F235" s="29">
        <v>29181</v>
      </c>
      <c r="G235" s="56" t="str">
        <f t="shared" ca="1" si="33"/>
        <v>V 40</v>
      </c>
      <c r="H235" s="28">
        <f t="shared" ca="1" si="34"/>
        <v>41</v>
      </c>
      <c r="J235" s="38" t="str">
        <f t="shared" si="28"/>
        <v>Cristina Ferreira</v>
      </c>
      <c r="K235" s="39">
        <f t="shared" si="29"/>
        <v>56</v>
      </c>
      <c r="L235" s="39">
        <f t="shared" si="30"/>
        <v>125525</v>
      </c>
      <c r="M235" s="40">
        <f t="shared" si="35"/>
        <v>29181</v>
      </c>
      <c r="N235" s="41" t="str">
        <f t="shared" ca="1" si="36"/>
        <v>V 40</v>
      </c>
      <c r="O235" s="41" t="str">
        <f t="shared" si="31"/>
        <v>F</v>
      </c>
      <c r="P235" s="60" t="str">
        <f t="shared" si="32"/>
        <v>AJS</v>
      </c>
      <c r="Q235" s="61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3">
      <c r="A236" s="28">
        <v>1434</v>
      </c>
      <c r="B236" s="28">
        <v>125211</v>
      </c>
      <c r="C236" s="129" t="s">
        <v>108</v>
      </c>
      <c r="D236" s="128" t="s">
        <v>123</v>
      </c>
      <c r="E236" s="128" t="s">
        <v>145</v>
      </c>
      <c r="F236" s="29">
        <v>36982</v>
      </c>
      <c r="G236" s="56" t="str">
        <f t="shared" ca="1" si="33"/>
        <v>sub 23</v>
      </c>
      <c r="H236" s="28">
        <f t="shared" ca="1" si="34"/>
        <v>20</v>
      </c>
      <c r="J236" s="38" t="str">
        <f t="shared" si="28"/>
        <v>Diogo E. Fernandes</v>
      </c>
      <c r="K236" s="39">
        <f t="shared" si="29"/>
        <v>1434</v>
      </c>
      <c r="L236" s="39">
        <f t="shared" si="30"/>
        <v>125211</v>
      </c>
      <c r="M236" s="40">
        <f t="shared" si="35"/>
        <v>36982</v>
      </c>
      <c r="N236" s="41" t="str">
        <f t="shared" ca="1" si="36"/>
        <v>sub 23</v>
      </c>
      <c r="O236" s="41" t="str">
        <f t="shared" si="31"/>
        <v>M</v>
      </c>
      <c r="P236" s="60" t="str">
        <f t="shared" si="32"/>
        <v>AJS</v>
      </c>
      <c r="Q236" s="61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3">
      <c r="A237" s="28">
        <v>1418</v>
      </c>
      <c r="B237" s="28">
        <v>153167</v>
      </c>
      <c r="C237" s="129" t="s">
        <v>963</v>
      </c>
      <c r="D237" s="128" t="s">
        <v>123</v>
      </c>
      <c r="E237" s="128" t="s">
        <v>145</v>
      </c>
      <c r="F237" s="29">
        <v>28576</v>
      </c>
      <c r="G237" s="56" t="str">
        <f t="shared" ca="1" si="33"/>
        <v>V 40</v>
      </c>
      <c r="H237" s="28">
        <f t="shared" ca="1" si="34"/>
        <v>43</v>
      </c>
      <c r="J237" s="38" t="str">
        <f t="shared" si="28"/>
        <v>Paulo Barreto</v>
      </c>
      <c r="K237" s="39">
        <f t="shared" si="29"/>
        <v>1418</v>
      </c>
      <c r="L237" s="39">
        <f t="shared" si="30"/>
        <v>153167</v>
      </c>
      <c r="M237" s="40">
        <f t="shared" si="35"/>
        <v>28576</v>
      </c>
      <c r="N237" s="41" t="str">
        <f t="shared" ca="1" si="36"/>
        <v>V 40</v>
      </c>
      <c r="O237" s="41" t="str">
        <f t="shared" si="31"/>
        <v>M</v>
      </c>
      <c r="P237" s="60" t="str">
        <f t="shared" si="32"/>
        <v>AJS</v>
      </c>
      <c r="Q237" s="61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3">
      <c r="A238" s="28">
        <v>1417</v>
      </c>
      <c r="B238" s="28">
        <v>142803</v>
      </c>
      <c r="C238" s="129" t="s">
        <v>551</v>
      </c>
      <c r="D238" s="128" t="s">
        <v>123</v>
      </c>
      <c r="E238" s="128" t="s">
        <v>145</v>
      </c>
      <c r="F238" s="29">
        <v>29083</v>
      </c>
      <c r="G238" s="56" t="str">
        <f t="shared" ca="1" si="33"/>
        <v>V 40</v>
      </c>
      <c r="H238" s="28">
        <f t="shared" ca="1" si="34"/>
        <v>41</v>
      </c>
      <c r="J238" s="38" t="str">
        <f t="shared" si="28"/>
        <v>Hugo Batista</v>
      </c>
      <c r="K238" s="39">
        <f t="shared" si="29"/>
        <v>1417</v>
      </c>
      <c r="L238" s="39">
        <f t="shared" si="30"/>
        <v>142803</v>
      </c>
      <c r="M238" s="40">
        <f t="shared" si="35"/>
        <v>29083</v>
      </c>
      <c r="N238" s="41" t="str">
        <f t="shared" ca="1" si="36"/>
        <v>V 40</v>
      </c>
      <c r="O238" s="41" t="str">
        <f t="shared" si="31"/>
        <v>M</v>
      </c>
      <c r="P238" s="60" t="str">
        <f t="shared" si="32"/>
        <v>AJS</v>
      </c>
      <c r="Q238" s="61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3">
      <c r="A239" s="28">
        <v>1416</v>
      </c>
      <c r="B239" s="28">
        <v>162718</v>
      </c>
      <c r="C239" s="129" t="s">
        <v>1570</v>
      </c>
      <c r="D239" s="128" t="s">
        <v>123</v>
      </c>
      <c r="E239" s="128" t="s">
        <v>145</v>
      </c>
      <c r="F239" s="29">
        <v>28968</v>
      </c>
      <c r="G239" s="56" t="str">
        <f t="shared" ca="1" si="33"/>
        <v>V 40</v>
      </c>
      <c r="H239" s="28">
        <f t="shared" ca="1" si="34"/>
        <v>41</v>
      </c>
      <c r="J239" s="38" t="str">
        <f t="shared" si="28"/>
        <v>Natércio Vieira</v>
      </c>
      <c r="K239" s="39">
        <f t="shared" si="29"/>
        <v>1416</v>
      </c>
      <c r="L239" s="39">
        <f t="shared" si="30"/>
        <v>162718</v>
      </c>
      <c r="M239" s="40">
        <f t="shared" si="35"/>
        <v>28968</v>
      </c>
      <c r="N239" s="41" t="str">
        <f t="shared" ca="1" si="36"/>
        <v>V 40</v>
      </c>
      <c r="O239" s="41" t="str">
        <f t="shared" si="31"/>
        <v>M</v>
      </c>
      <c r="P239" s="60" t="str">
        <f t="shared" si="32"/>
        <v>AJS</v>
      </c>
      <c r="Q239" s="61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3">
      <c r="A240" s="28">
        <v>1449</v>
      </c>
      <c r="B240" s="28">
        <v>145673</v>
      </c>
      <c r="C240" s="129" t="s">
        <v>751</v>
      </c>
      <c r="D240" s="128" t="s">
        <v>123</v>
      </c>
      <c r="E240" s="128" t="s">
        <v>145</v>
      </c>
      <c r="F240" s="29">
        <v>34042</v>
      </c>
      <c r="G240" s="56" t="str">
        <f t="shared" ca="1" si="33"/>
        <v>Sénior</v>
      </c>
      <c r="H240" s="28">
        <f t="shared" ca="1" si="34"/>
        <v>28</v>
      </c>
      <c r="J240" s="38" t="str">
        <f t="shared" si="28"/>
        <v>Leandro Soares</v>
      </c>
      <c r="K240" s="39">
        <f t="shared" si="29"/>
        <v>1449</v>
      </c>
      <c r="L240" s="39">
        <f t="shared" si="30"/>
        <v>145673</v>
      </c>
      <c r="M240" s="40">
        <f t="shared" si="35"/>
        <v>34042</v>
      </c>
      <c r="N240" s="41" t="str">
        <f t="shared" ca="1" si="36"/>
        <v>Sénior</v>
      </c>
      <c r="O240" s="41" t="str">
        <f t="shared" si="31"/>
        <v>M</v>
      </c>
      <c r="P240" s="60" t="str">
        <f t="shared" si="32"/>
        <v>AJS</v>
      </c>
      <c r="Q240" s="61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3">
      <c r="A241" s="28">
        <v>1415</v>
      </c>
      <c r="B241" s="28">
        <v>152589</v>
      </c>
      <c r="C241" s="129" t="s">
        <v>841</v>
      </c>
      <c r="D241" s="128" t="s">
        <v>123</v>
      </c>
      <c r="E241" s="128" t="s">
        <v>145</v>
      </c>
      <c r="F241" s="29">
        <v>28576</v>
      </c>
      <c r="G241" s="56" t="str">
        <f t="shared" ca="1" si="33"/>
        <v>V 40</v>
      </c>
      <c r="H241" s="28">
        <f t="shared" ca="1" si="34"/>
        <v>43</v>
      </c>
      <c r="J241" s="38" t="str">
        <f t="shared" si="28"/>
        <v>Davide Fernandes</v>
      </c>
      <c r="K241" s="39">
        <f t="shared" si="29"/>
        <v>1415</v>
      </c>
      <c r="L241" s="39">
        <f t="shared" si="30"/>
        <v>152589</v>
      </c>
      <c r="M241" s="40">
        <f t="shared" si="35"/>
        <v>28576</v>
      </c>
      <c r="N241" s="41" t="str">
        <f t="shared" ca="1" si="36"/>
        <v>V 40</v>
      </c>
      <c r="O241" s="41" t="str">
        <f t="shared" si="31"/>
        <v>M</v>
      </c>
      <c r="P241" s="60" t="str">
        <f t="shared" si="32"/>
        <v>AJS</v>
      </c>
      <c r="Q241" s="6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3">
      <c r="A242" s="28">
        <v>1429</v>
      </c>
      <c r="B242" s="28">
        <v>153306</v>
      </c>
      <c r="C242" s="129" t="s">
        <v>1007</v>
      </c>
      <c r="D242" s="128" t="s">
        <v>123</v>
      </c>
      <c r="E242" s="128" t="s">
        <v>145</v>
      </c>
      <c r="F242" s="29">
        <v>30114</v>
      </c>
      <c r="G242" s="56" t="str">
        <f t="shared" ca="1" si="33"/>
        <v>V 35</v>
      </c>
      <c r="H242" s="28">
        <f t="shared" ca="1" si="34"/>
        <v>38</v>
      </c>
      <c r="J242" s="38" t="str">
        <f t="shared" si="28"/>
        <v>Emmanuel Teles</v>
      </c>
      <c r="K242" s="39">
        <f t="shared" si="29"/>
        <v>1429</v>
      </c>
      <c r="L242" s="39">
        <f t="shared" si="30"/>
        <v>153306</v>
      </c>
      <c r="M242" s="40">
        <f t="shared" si="35"/>
        <v>30114</v>
      </c>
      <c r="N242" s="41" t="str">
        <f t="shared" ca="1" si="36"/>
        <v>V 35</v>
      </c>
      <c r="O242" s="41" t="str">
        <f t="shared" si="31"/>
        <v>M</v>
      </c>
      <c r="P242" s="60" t="str">
        <f t="shared" si="32"/>
        <v>AJS</v>
      </c>
      <c r="Q242" s="61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3">
      <c r="A243" s="28">
        <v>1448</v>
      </c>
      <c r="B243" s="28">
        <v>145894</v>
      </c>
      <c r="C243" s="129" t="s">
        <v>591</v>
      </c>
      <c r="D243" s="128" t="s">
        <v>123</v>
      </c>
      <c r="E243" s="128" t="s">
        <v>145</v>
      </c>
      <c r="F243" s="29">
        <v>32651</v>
      </c>
      <c r="G243" s="56" t="str">
        <f t="shared" ca="1" si="33"/>
        <v>Sénior</v>
      </c>
      <c r="H243" s="28">
        <f t="shared" ca="1" si="34"/>
        <v>31</v>
      </c>
      <c r="J243" s="38" t="str">
        <f t="shared" si="28"/>
        <v>Leonel Gomes</v>
      </c>
      <c r="K243" s="39">
        <f t="shared" si="29"/>
        <v>1448</v>
      </c>
      <c r="L243" s="39">
        <f t="shared" si="30"/>
        <v>145894</v>
      </c>
      <c r="M243" s="40">
        <f t="shared" si="35"/>
        <v>32651</v>
      </c>
      <c r="N243" s="41" t="str">
        <f t="shared" ca="1" si="36"/>
        <v>Sénior</v>
      </c>
      <c r="O243" s="41" t="str">
        <f t="shared" si="31"/>
        <v>M</v>
      </c>
      <c r="P243" s="60" t="str">
        <f t="shared" si="32"/>
        <v>AJS</v>
      </c>
      <c r="Q243" s="61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3">
      <c r="A244" s="28">
        <v>1555</v>
      </c>
      <c r="B244" s="28">
        <v>128781</v>
      </c>
      <c r="C244" s="129" t="s">
        <v>137</v>
      </c>
      <c r="D244" s="128" t="s">
        <v>123</v>
      </c>
      <c r="E244" s="128" t="s">
        <v>146</v>
      </c>
      <c r="F244" s="29">
        <v>37627</v>
      </c>
      <c r="G244" s="56" t="str">
        <f t="shared" ca="1" si="33"/>
        <v>Júnior</v>
      </c>
      <c r="H244" s="28">
        <f t="shared" ca="1" si="34"/>
        <v>18</v>
      </c>
      <c r="J244" s="38" t="str">
        <f t="shared" si="28"/>
        <v>Inês Abreu</v>
      </c>
      <c r="K244" s="39">
        <f t="shared" si="29"/>
        <v>1555</v>
      </c>
      <c r="L244" s="39">
        <f t="shared" si="30"/>
        <v>128781</v>
      </c>
      <c r="M244" s="40">
        <f t="shared" si="35"/>
        <v>37627</v>
      </c>
      <c r="N244" s="41" t="str">
        <f t="shared" ca="1" si="36"/>
        <v>Júnior</v>
      </c>
      <c r="O244" s="41" t="str">
        <f t="shared" si="31"/>
        <v>F</v>
      </c>
      <c r="P244" s="60" t="str">
        <f t="shared" si="32"/>
        <v>AJS</v>
      </c>
      <c r="Q244" s="61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3">
      <c r="A245" s="28">
        <v>1738</v>
      </c>
      <c r="B245" s="28">
        <v>146447</v>
      </c>
      <c r="C245" s="129" t="s">
        <v>780</v>
      </c>
      <c r="D245" s="128" t="s">
        <v>123</v>
      </c>
      <c r="E245" s="128" t="s">
        <v>145</v>
      </c>
      <c r="F245" s="29">
        <v>37496</v>
      </c>
      <c r="G245" s="56" t="str">
        <f t="shared" ca="1" si="33"/>
        <v>Júnior</v>
      </c>
      <c r="H245" s="28">
        <f t="shared" ca="1" si="34"/>
        <v>18</v>
      </c>
      <c r="J245" s="38" t="str">
        <f t="shared" si="28"/>
        <v>Luís Miguel Silva</v>
      </c>
      <c r="K245" s="39">
        <f t="shared" si="29"/>
        <v>1738</v>
      </c>
      <c r="L245" s="39">
        <f t="shared" si="30"/>
        <v>146447</v>
      </c>
      <c r="M245" s="40">
        <f t="shared" si="35"/>
        <v>37496</v>
      </c>
      <c r="N245" s="41" t="str">
        <f t="shared" ca="1" si="36"/>
        <v>Júnior</v>
      </c>
      <c r="O245" s="41" t="str">
        <f t="shared" si="31"/>
        <v>M</v>
      </c>
      <c r="P245" s="60" t="str">
        <f t="shared" si="32"/>
        <v>AJS</v>
      </c>
      <c r="Q245" s="61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3">
      <c r="A246" s="28">
        <v>39</v>
      </c>
      <c r="B246" s="28">
        <v>133874</v>
      </c>
      <c r="C246" s="129" t="s">
        <v>962</v>
      </c>
      <c r="D246" s="128" t="s">
        <v>123</v>
      </c>
      <c r="E246" s="128" t="s">
        <v>146</v>
      </c>
      <c r="F246" s="29">
        <v>33386</v>
      </c>
      <c r="G246" s="56" t="str">
        <f t="shared" ca="1" si="33"/>
        <v>Sénior</v>
      </c>
      <c r="H246" s="28">
        <f t="shared" ca="1" si="34"/>
        <v>29</v>
      </c>
      <c r="J246" s="38" t="str">
        <f t="shared" si="28"/>
        <v>Fátima Ribeiro</v>
      </c>
      <c r="K246" s="39">
        <f t="shared" si="29"/>
        <v>39</v>
      </c>
      <c r="L246" s="39">
        <f t="shared" si="30"/>
        <v>133874</v>
      </c>
      <c r="M246" s="40">
        <f t="shared" si="35"/>
        <v>33386</v>
      </c>
      <c r="N246" s="41" t="str">
        <f t="shared" ca="1" si="36"/>
        <v>Sénior</v>
      </c>
      <c r="O246" s="41" t="str">
        <f t="shared" si="31"/>
        <v>F</v>
      </c>
      <c r="P246" s="60" t="str">
        <f t="shared" si="32"/>
        <v>AJS</v>
      </c>
      <c r="Q246" s="61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3">
      <c r="A247" s="28">
        <v>1898</v>
      </c>
      <c r="B247" s="28">
        <v>156479</v>
      </c>
      <c r="C247" s="129" t="s">
        <v>1066</v>
      </c>
      <c r="D247" s="128" t="s">
        <v>123</v>
      </c>
      <c r="E247" s="128" t="s">
        <v>145</v>
      </c>
      <c r="F247" s="29">
        <v>39336</v>
      </c>
      <c r="G247" s="56" t="str">
        <f t="shared" ca="1" si="33"/>
        <v>Iniciado</v>
      </c>
      <c r="H247" s="28">
        <f t="shared" ca="1" si="34"/>
        <v>13</v>
      </c>
      <c r="J247" s="38" t="str">
        <f t="shared" si="28"/>
        <v>Marco Santos</v>
      </c>
      <c r="K247" s="39">
        <f t="shared" si="29"/>
        <v>1898</v>
      </c>
      <c r="L247" s="39">
        <f t="shared" si="30"/>
        <v>156479</v>
      </c>
      <c r="M247" s="40">
        <f t="shared" si="35"/>
        <v>39336</v>
      </c>
      <c r="N247" s="41" t="str">
        <f t="shared" ca="1" si="36"/>
        <v>Iniciado</v>
      </c>
      <c r="O247" s="41" t="str">
        <f t="shared" si="31"/>
        <v>M</v>
      </c>
      <c r="P247" s="60" t="str">
        <f t="shared" si="32"/>
        <v>AJS</v>
      </c>
      <c r="Q247" s="61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3">
      <c r="A248" s="28">
        <v>1561</v>
      </c>
      <c r="B248" s="28">
        <v>153769</v>
      </c>
      <c r="C248" s="129" t="s">
        <v>907</v>
      </c>
      <c r="D248" s="128" t="s">
        <v>123</v>
      </c>
      <c r="E248" s="128" t="s">
        <v>146</v>
      </c>
      <c r="F248" s="29">
        <v>38546</v>
      </c>
      <c r="G248" s="56" t="str">
        <f t="shared" ca="1" si="33"/>
        <v>Juvenil</v>
      </c>
      <c r="H248" s="28">
        <f t="shared" ca="1" si="34"/>
        <v>15</v>
      </c>
      <c r="J248" s="38" t="str">
        <f t="shared" si="28"/>
        <v>Catarina Ferraz</v>
      </c>
      <c r="K248" s="39">
        <f t="shared" si="29"/>
        <v>1561</v>
      </c>
      <c r="L248" s="39">
        <f t="shared" si="30"/>
        <v>153769</v>
      </c>
      <c r="M248" s="40">
        <f t="shared" si="35"/>
        <v>38546</v>
      </c>
      <c r="N248" s="41" t="str">
        <f t="shared" ca="1" si="36"/>
        <v>Juvenil</v>
      </c>
      <c r="O248" s="41" t="str">
        <f t="shared" si="31"/>
        <v>F</v>
      </c>
      <c r="P248" s="60" t="str">
        <f t="shared" si="32"/>
        <v>AJS</v>
      </c>
      <c r="Q248" s="61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3">
      <c r="A249" s="28">
        <v>1757</v>
      </c>
      <c r="B249" s="28">
        <v>129079</v>
      </c>
      <c r="C249" s="129" t="s">
        <v>134</v>
      </c>
      <c r="D249" s="128" t="s">
        <v>123</v>
      </c>
      <c r="E249" s="128" t="s">
        <v>146</v>
      </c>
      <c r="F249" s="29">
        <v>39032</v>
      </c>
      <c r="G249" s="56" t="str">
        <f t="shared" ca="1" si="33"/>
        <v>Iniciado</v>
      </c>
      <c r="H249" s="28">
        <f t="shared" ca="1" si="34"/>
        <v>14</v>
      </c>
      <c r="J249" s="38" t="str">
        <f t="shared" si="28"/>
        <v>Beatriz A. Freitas</v>
      </c>
      <c r="K249" s="39">
        <f t="shared" si="29"/>
        <v>1757</v>
      </c>
      <c r="L249" s="39">
        <f t="shared" si="30"/>
        <v>129079</v>
      </c>
      <c r="M249" s="40">
        <f t="shared" si="35"/>
        <v>39032</v>
      </c>
      <c r="N249" s="41" t="str">
        <f t="shared" ca="1" si="36"/>
        <v>Iniciado</v>
      </c>
      <c r="O249" s="41" t="str">
        <f t="shared" si="31"/>
        <v>F</v>
      </c>
      <c r="P249" s="60" t="str">
        <f t="shared" si="32"/>
        <v>AJS</v>
      </c>
      <c r="Q249" s="61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3">
      <c r="A250" s="28">
        <v>1433</v>
      </c>
      <c r="B250" s="28">
        <v>161478</v>
      </c>
      <c r="C250" s="129" t="s">
        <v>1365</v>
      </c>
      <c r="D250" s="128" t="s">
        <v>123</v>
      </c>
      <c r="E250" s="128" t="s">
        <v>145</v>
      </c>
      <c r="F250" s="29">
        <v>36621</v>
      </c>
      <c r="G250" s="56" t="str">
        <f t="shared" ca="1" si="33"/>
        <v>sub 23</v>
      </c>
      <c r="H250" s="28">
        <f t="shared" ca="1" si="34"/>
        <v>21</v>
      </c>
      <c r="J250" s="38" t="str">
        <f t="shared" si="28"/>
        <v>Vítor Gouveia</v>
      </c>
      <c r="K250" s="39">
        <f t="shared" si="29"/>
        <v>1433</v>
      </c>
      <c r="L250" s="39">
        <f t="shared" si="30"/>
        <v>161478</v>
      </c>
      <c r="M250" s="40">
        <f t="shared" si="35"/>
        <v>36621</v>
      </c>
      <c r="N250" s="41" t="str">
        <f t="shared" ca="1" si="36"/>
        <v>sub 23</v>
      </c>
      <c r="O250" s="41" t="str">
        <f t="shared" si="31"/>
        <v>M</v>
      </c>
      <c r="P250" s="60" t="str">
        <f t="shared" si="32"/>
        <v>AJS</v>
      </c>
      <c r="Q250" s="61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3">
      <c r="A251" s="28">
        <v>1428</v>
      </c>
      <c r="B251" s="28">
        <v>125144</v>
      </c>
      <c r="C251" s="129" t="s">
        <v>979</v>
      </c>
      <c r="D251" s="128" t="s">
        <v>123</v>
      </c>
      <c r="E251" s="128" t="s">
        <v>145</v>
      </c>
      <c r="F251" s="29">
        <v>30759</v>
      </c>
      <c r="G251" s="56" t="str">
        <f t="shared" ca="1" si="33"/>
        <v>V 35</v>
      </c>
      <c r="H251" s="28">
        <f t="shared" ca="1" si="34"/>
        <v>37</v>
      </c>
      <c r="J251" s="38" t="str">
        <f t="shared" si="28"/>
        <v>Vítor Viveiros</v>
      </c>
      <c r="K251" s="39">
        <f t="shared" si="29"/>
        <v>1428</v>
      </c>
      <c r="L251" s="39">
        <f t="shared" si="30"/>
        <v>125144</v>
      </c>
      <c r="M251" s="40">
        <f t="shared" si="35"/>
        <v>30759</v>
      </c>
      <c r="N251" s="41" t="str">
        <f t="shared" ca="1" si="36"/>
        <v>V 35</v>
      </c>
      <c r="O251" s="41" t="str">
        <f t="shared" si="31"/>
        <v>M</v>
      </c>
      <c r="P251" s="60" t="str">
        <f t="shared" si="32"/>
        <v>AJS</v>
      </c>
      <c r="Q251" s="6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3">
      <c r="A252" s="28">
        <v>2245</v>
      </c>
      <c r="B252" s="28">
        <v>158605</v>
      </c>
      <c r="C252" s="129" t="s">
        <v>1013</v>
      </c>
      <c r="D252" s="128" t="s">
        <v>123</v>
      </c>
      <c r="E252" s="128" t="s">
        <v>145</v>
      </c>
      <c r="F252" s="29">
        <v>40696</v>
      </c>
      <c r="G252" s="56" t="str">
        <f t="shared" ca="1" si="33"/>
        <v>Benjamim B</v>
      </c>
      <c r="H252" s="28">
        <f t="shared" ca="1" si="34"/>
        <v>9</v>
      </c>
      <c r="J252" s="38" t="str">
        <f t="shared" si="28"/>
        <v>Afonso Jesus</v>
      </c>
      <c r="K252" s="39">
        <f t="shared" si="29"/>
        <v>2245</v>
      </c>
      <c r="L252" s="39">
        <f t="shared" si="30"/>
        <v>158605</v>
      </c>
      <c r="M252" s="40">
        <f t="shared" si="35"/>
        <v>40696</v>
      </c>
      <c r="N252" s="41" t="str">
        <f t="shared" ca="1" si="36"/>
        <v>Benjamim B</v>
      </c>
      <c r="O252" s="41" t="str">
        <f t="shared" si="31"/>
        <v>M</v>
      </c>
      <c r="P252" s="60" t="str">
        <f t="shared" si="32"/>
        <v>AJS</v>
      </c>
      <c r="Q252" s="61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3">
      <c r="A253" s="28">
        <v>1734</v>
      </c>
      <c r="B253" s="28">
        <v>123971</v>
      </c>
      <c r="C253" s="129" t="s">
        <v>980</v>
      </c>
      <c r="D253" s="128" t="s">
        <v>123</v>
      </c>
      <c r="E253" s="128" t="s">
        <v>145</v>
      </c>
      <c r="F253" s="29">
        <v>38665</v>
      </c>
      <c r="G253" s="56" t="str">
        <f t="shared" ca="1" si="33"/>
        <v>Juvenil</v>
      </c>
      <c r="H253" s="28">
        <f t="shared" ca="1" si="34"/>
        <v>15</v>
      </c>
      <c r="J253" s="38" t="str">
        <f t="shared" si="28"/>
        <v>Rodrigo Gonçalves</v>
      </c>
      <c r="K253" s="39">
        <f t="shared" si="29"/>
        <v>1734</v>
      </c>
      <c r="L253" s="39">
        <f t="shared" si="30"/>
        <v>123971</v>
      </c>
      <c r="M253" s="40">
        <f t="shared" si="35"/>
        <v>38665</v>
      </c>
      <c r="N253" s="41" t="str">
        <f t="shared" ca="1" si="36"/>
        <v>Juvenil</v>
      </c>
      <c r="O253" s="41" t="str">
        <f t="shared" si="31"/>
        <v>M</v>
      </c>
      <c r="P253" s="60" t="str">
        <f t="shared" si="32"/>
        <v>AJS</v>
      </c>
      <c r="Q253" s="61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3">
      <c r="A254" s="28">
        <v>2050</v>
      </c>
      <c r="B254" s="28">
        <v>154084</v>
      </c>
      <c r="C254" s="129" t="s">
        <v>912</v>
      </c>
      <c r="D254" s="128" t="s">
        <v>123</v>
      </c>
      <c r="E254" s="128" t="s">
        <v>145</v>
      </c>
      <c r="F254" s="29">
        <v>39887</v>
      </c>
      <c r="G254" s="56" t="str">
        <f t="shared" ca="1" si="33"/>
        <v>Infantil</v>
      </c>
      <c r="H254" s="28">
        <f t="shared" ca="1" si="34"/>
        <v>12</v>
      </c>
      <c r="J254" s="38" t="str">
        <f t="shared" si="28"/>
        <v>João Correia</v>
      </c>
      <c r="K254" s="39">
        <f t="shared" si="29"/>
        <v>2050</v>
      </c>
      <c r="L254" s="39">
        <f t="shared" si="30"/>
        <v>154084</v>
      </c>
      <c r="M254" s="40">
        <f t="shared" si="35"/>
        <v>39887</v>
      </c>
      <c r="N254" s="41" t="str">
        <f t="shared" ca="1" si="36"/>
        <v>Infantil</v>
      </c>
      <c r="O254" s="41" t="str">
        <f t="shared" si="31"/>
        <v>M</v>
      </c>
      <c r="P254" s="60" t="str">
        <f t="shared" si="32"/>
        <v>AJS</v>
      </c>
      <c r="Q254" s="61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3">
      <c r="A255" s="28">
        <v>1897</v>
      </c>
      <c r="B255" s="28">
        <v>153252</v>
      </c>
      <c r="C255" s="129" t="s">
        <v>1571</v>
      </c>
      <c r="D255" s="128" t="s">
        <v>123</v>
      </c>
      <c r="E255" s="128" t="s">
        <v>145</v>
      </c>
      <c r="F255" s="29">
        <v>39310</v>
      </c>
      <c r="G255" s="56" t="str">
        <f t="shared" ca="1" si="33"/>
        <v>Iniciado</v>
      </c>
      <c r="H255" s="28">
        <f t="shared" ca="1" si="34"/>
        <v>13</v>
      </c>
      <c r="J255" s="38" t="str">
        <f t="shared" si="28"/>
        <v>João R. Jesus</v>
      </c>
      <c r="K255" s="39">
        <f t="shared" si="29"/>
        <v>1897</v>
      </c>
      <c r="L255" s="39">
        <f t="shared" si="30"/>
        <v>153252</v>
      </c>
      <c r="M255" s="40">
        <f t="shared" si="35"/>
        <v>39310</v>
      </c>
      <c r="N255" s="41" t="str">
        <f t="shared" ca="1" si="36"/>
        <v>Iniciado</v>
      </c>
      <c r="O255" s="41" t="str">
        <f t="shared" si="31"/>
        <v>M</v>
      </c>
      <c r="P255" s="60" t="str">
        <f t="shared" si="32"/>
        <v>AJS</v>
      </c>
      <c r="Q255" s="61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3">
      <c r="A256" s="28">
        <v>1447</v>
      </c>
      <c r="B256" s="28">
        <v>126325</v>
      </c>
      <c r="C256" s="129" t="s">
        <v>1572</v>
      </c>
      <c r="D256" s="128" t="s">
        <v>123</v>
      </c>
      <c r="E256" s="128" t="s">
        <v>145</v>
      </c>
      <c r="F256" s="29">
        <v>36153</v>
      </c>
      <c r="G256" s="56" t="str">
        <f t="shared" ca="1" si="33"/>
        <v>Sénior</v>
      </c>
      <c r="H256" s="28">
        <f t="shared" ca="1" si="34"/>
        <v>22</v>
      </c>
      <c r="J256" s="38" t="str">
        <f t="shared" si="28"/>
        <v>Nelson Pinto</v>
      </c>
      <c r="K256" s="39">
        <f t="shared" si="29"/>
        <v>1447</v>
      </c>
      <c r="L256" s="39">
        <f t="shared" si="30"/>
        <v>126325</v>
      </c>
      <c r="M256" s="40">
        <f t="shared" si="35"/>
        <v>36153</v>
      </c>
      <c r="N256" s="41" t="str">
        <f t="shared" ca="1" si="36"/>
        <v>Sénior</v>
      </c>
      <c r="O256" s="41" t="str">
        <f t="shared" si="31"/>
        <v>M</v>
      </c>
      <c r="P256" s="60" t="str">
        <f t="shared" si="32"/>
        <v>AJS</v>
      </c>
      <c r="Q256" s="61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3">
      <c r="A257" s="28">
        <v>80</v>
      </c>
      <c r="B257" s="28">
        <v>140853</v>
      </c>
      <c r="C257" s="129" t="s">
        <v>1097</v>
      </c>
      <c r="D257" s="128" t="s">
        <v>143</v>
      </c>
      <c r="E257" s="128" t="s">
        <v>146</v>
      </c>
      <c r="F257" s="29">
        <v>37048</v>
      </c>
      <c r="G257" s="56" t="str">
        <f t="shared" ca="1" si="33"/>
        <v>sub 23</v>
      </c>
      <c r="H257" s="28">
        <f t="shared" ca="1" si="34"/>
        <v>19</v>
      </c>
      <c r="J257" s="38" t="str">
        <f t="shared" si="28"/>
        <v>Inês Correia</v>
      </c>
      <c r="K257" s="39">
        <f t="shared" si="29"/>
        <v>80</v>
      </c>
      <c r="L257" s="39">
        <f t="shared" si="30"/>
        <v>140853</v>
      </c>
      <c r="M257" s="40">
        <f t="shared" si="35"/>
        <v>37048</v>
      </c>
      <c r="N257" s="41" t="str">
        <f t="shared" ca="1" si="36"/>
        <v>sub 23</v>
      </c>
      <c r="O257" s="41" t="str">
        <f t="shared" si="31"/>
        <v>F</v>
      </c>
      <c r="P257" s="60" t="str">
        <f t="shared" si="32"/>
        <v>CAFH</v>
      </c>
      <c r="Q257" s="61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3">
      <c r="A258" s="28">
        <v>78</v>
      </c>
      <c r="B258" s="28">
        <v>125487</v>
      </c>
      <c r="C258" s="129" t="s">
        <v>1300</v>
      </c>
      <c r="D258" s="128" t="s">
        <v>143</v>
      </c>
      <c r="E258" s="128" t="s">
        <v>146</v>
      </c>
      <c r="F258" s="29">
        <v>33325</v>
      </c>
      <c r="G258" s="56" t="str">
        <f t="shared" ca="1" si="33"/>
        <v>Sénior</v>
      </c>
      <c r="H258" s="28">
        <f t="shared" ca="1" si="34"/>
        <v>30</v>
      </c>
      <c r="J258" s="38" t="str">
        <f t="shared" ref="J258:J321" si="37">C258</f>
        <v>Nilza Ornelas</v>
      </c>
      <c r="K258" s="39">
        <f t="shared" ref="K258:K321" si="38">A258</f>
        <v>78</v>
      </c>
      <c r="L258" s="39">
        <f t="shared" ref="L258:L321" si="39">B258</f>
        <v>125487</v>
      </c>
      <c r="M258" s="40">
        <f t="shared" si="35"/>
        <v>33325</v>
      </c>
      <c r="N258" s="41" t="str">
        <f t="shared" ca="1" si="36"/>
        <v>Sénior</v>
      </c>
      <c r="O258" s="41" t="str">
        <f t="shared" ref="O258:O321" si="40">E258</f>
        <v>F</v>
      </c>
      <c r="P258" s="60" t="str">
        <f t="shared" ref="P258:P321" si="41">D258</f>
        <v>CAFH</v>
      </c>
      <c r="Q258" s="61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3">
      <c r="A259" s="28">
        <v>79</v>
      </c>
      <c r="B259" s="28">
        <v>125498</v>
      </c>
      <c r="C259" s="129" t="s">
        <v>179</v>
      </c>
      <c r="D259" s="128" t="s">
        <v>143</v>
      </c>
      <c r="E259" s="128" t="s">
        <v>146</v>
      </c>
      <c r="F259" s="29">
        <v>32132</v>
      </c>
      <c r="G259" s="5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B",IF(YEAR(TODAY())-YEAR(F259)&lt;14,"Infantil",IF(YEAR(TODAY())-YEAR(F259)&lt;16,"Iniciado",IF(YEAR(TODAY())-YEAR(F259)&lt;18,"Juvenil",IF(YEAR(TODAY())-YEAR(F259)&lt;20,"Júnior",IF(YEAR(TODAY())-YEAR(F259)&lt;23,"sub 23",IF(ROUNDDOWN(INT(TODAY()-F259)/365.25,0)&lt;35,"Sénior",IF(ROUNDDOWN(INT(TODAY()-F259)/365.25,0)&lt;40,"V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65",IF(ROUNDDOWN(INT(TODAY()-F259)/365.25,0)&lt;75,"V 70",IF(ROUNDDOWN(INT(TODAY()-F259)/365.25,0)&lt;80,"V 75",IF(ROUNDDOWN(INT(TODAY()-F259)/365.25,0)&lt;85,"V 80",IF(ROUNDDOWN(INT(TODAY()-F259)/365.25,0)&lt;90,"V 85",IF(ROUNDDOWN(INT(TODAY()-F259)/365.25,0)&lt;95,"V 90",IF(ROUNDDOWN(INT(TODAY()-F259)/365.25,0)&lt;100,"V 95",IF(ROUNDDOWN(INT(TODAY()-F259)/365.25,0)&gt;=100,"V 100",""))))))))))))))))))))))),"")</f>
        <v>Sénior</v>
      </c>
      <c r="H259" s="28">
        <f t="shared" ref="H259:H322" ca="1" si="43">IFERROR(IF($A259&gt;0,ROUNDDOWN(INT(TODAY()-F259)/365.25,0),""),"")</f>
        <v>33</v>
      </c>
      <c r="J259" s="38" t="str">
        <f t="shared" si="37"/>
        <v>Catarina Dinis</v>
      </c>
      <c r="K259" s="39">
        <f t="shared" si="38"/>
        <v>79</v>
      </c>
      <c r="L259" s="39">
        <f t="shared" si="39"/>
        <v>125498</v>
      </c>
      <c r="M259" s="40">
        <f t="shared" ref="M259:M322" si="44">F259</f>
        <v>32132</v>
      </c>
      <c r="N259" s="41" t="str">
        <f t="shared" ref="N259:N322" ca="1" si="45">G259</f>
        <v>Sénior</v>
      </c>
      <c r="O259" s="41" t="str">
        <f t="shared" si="40"/>
        <v>F</v>
      </c>
      <c r="P259" s="60" t="str">
        <f t="shared" si="41"/>
        <v>CAFH</v>
      </c>
      <c r="Q259" s="61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3">
      <c r="A260" s="28">
        <v>84</v>
      </c>
      <c r="B260" s="28">
        <v>130880</v>
      </c>
      <c r="C260" s="129" t="s">
        <v>598</v>
      </c>
      <c r="D260" s="128" t="s">
        <v>143</v>
      </c>
      <c r="E260" s="128" t="s">
        <v>146</v>
      </c>
      <c r="F260" s="29">
        <v>28383</v>
      </c>
      <c r="G260" s="56" t="str">
        <f t="shared" ca="1" si="42"/>
        <v>V 40</v>
      </c>
      <c r="H260" s="28">
        <f t="shared" ca="1" si="43"/>
        <v>43</v>
      </c>
      <c r="J260" s="38" t="str">
        <f t="shared" si="37"/>
        <v>Raquel Franco</v>
      </c>
      <c r="K260" s="39">
        <f t="shared" si="38"/>
        <v>84</v>
      </c>
      <c r="L260" s="39">
        <f t="shared" si="39"/>
        <v>130880</v>
      </c>
      <c r="M260" s="40">
        <f t="shared" si="44"/>
        <v>28383</v>
      </c>
      <c r="N260" s="41" t="str">
        <f t="shared" ca="1" si="45"/>
        <v>V 40</v>
      </c>
      <c r="O260" s="41" t="str">
        <f t="shared" si="40"/>
        <v>F</v>
      </c>
      <c r="P260" s="60" t="str">
        <f t="shared" si="41"/>
        <v>CAFH</v>
      </c>
      <c r="Q260" s="61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3">
      <c r="A261" s="28">
        <v>81</v>
      </c>
      <c r="B261" s="28">
        <v>156934</v>
      </c>
      <c r="C261" s="129" t="s">
        <v>1071</v>
      </c>
      <c r="D261" s="128" t="s">
        <v>143</v>
      </c>
      <c r="E261" s="128" t="s">
        <v>146</v>
      </c>
      <c r="F261" s="29">
        <v>30986</v>
      </c>
      <c r="G261" s="56" t="str">
        <f t="shared" ca="1" si="42"/>
        <v>V 35</v>
      </c>
      <c r="H261" s="28">
        <f t="shared" ca="1" si="43"/>
        <v>36</v>
      </c>
      <c r="J261" s="38" t="str">
        <f t="shared" si="37"/>
        <v>Graciela Fernandes</v>
      </c>
      <c r="K261" s="39">
        <f t="shared" si="38"/>
        <v>81</v>
      </c>
      <c r="L261" s="39">
        <f t="shared" si="39"/>
        <v>156934</v>
      </c>
      <c r="M261" s="40">
        <f t="shared" si="44"/>
        <v>30986</v>
      </c>
      <c r="N261" s="41" t="str">
        <f t="shared" ca="1" si="45"/>
        <v>V 35</v>
      </c>
      <c r="O261" s="41" t="str">
        <f t="shared" si="40"/>
        <v>F</v>
      </c>
      <c r="P261" s="60" t="str">
        <f t="shared" si="41"/>
        <v>CAFH</v>
      </c>
      <c r="Q261" s="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3">
      <c r="A262" s="28">
        <v>1564</v>
      </c>
      <c r="B262" s="28">
        <v>157818</v>
      </c>
      <c r="C262" s="129" t="s">
        <v>1096</v>
      </c>
      <c r="D262" s="128" t="s">
        <v>143</v>
      </c>
      <c r="E262" s="128" t="s">
        <v>146</v>
      </c>
      <c r="F262" s="29">
        <v>37811</v>
      </c>
      <c r="G262" s="56" t="str">
        <f t="shared" ca="1" si="42"/>
        <v>Júnior</v>
      </c>
      <c r="H262" s="28">
        <f t="shared" ca="1" si="43"/>
        <v>17</v>
      </c>
      <c r="J262" s="38" t="str">
        <f t="shared" si="37"/>
        <v>Joana Silvino</v>
      </c>
      <c r="K262" s="39">
        <f t="shared" si="38"/>
        <v>1564</v>
      </c>
      <c r="L262" s="39">
        <f t="shared" si="39"/>
        <v>157818</v>
      </c>
      <c r="M262" s="40">
        <f t="shared" si="44"/>
        <v>37811</v>
      </c>
      <c r="N262" s="41" t="str">
        <f t="shared" ca="1" si="45"/>
        <v>Júnior</v>
      </c>
      <c r="O262" s="41" t="str">
        <f t="shared" si="40"/>
        <v>F</v>
      </c>
      <c r="P262" s="60" t="str">
        <f t="shared" si="41"/>
        <v>CAFH</v>
      </c>
      <c r="Q262" s="61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3">
      <c r="A263" s="28">
        <v>85</v>
      </c>
      <c r="B263" s="28">
        <v>125543</v>
      </c>
      <c r="C263" s="129" t="s">
        <v>184</v>
      </c>
      <c r="D263" s="128" t="s">
        <v>143</v>
      </c>
      <c r="E263" s="128" t="s">
        <v>146</v>
      </c>
      <c r="F263" s="29">
        <v>29004</v>
      </c>
      <c r="G263" s="56" t="str">
        <f t="shared" ca="1" si="42"/>
        <v>V 40</v>
      </c>
      <c r="H263" s="28">
        <f t="shared" ca="1" si="43"/>
        <v>41</v>
      </c>
      <c r="J263" s="38" t="str">
        <f t="shared" si="37"/>
        <v>Sandra Gonçalves</v>
      </c>
      <c r="K263" s="39">
        <f t="shared" si="38"/>
        <v>85</v>
      </c>
      <c r="L263" s="39">
        <f t="shared" si="39"/>
        <v>125543</v>
      </c>
      <c r="M263" s="40">
        <f t="shared" si="44"/>
        <v>29004</v>
      </c>
      <c r="N263" s="41" t="str">
        <f t="shared" ca="1" si="45"/>
        <v>V 40</v>
      </c>
      <c r="O263" s="41" t="str">
        <f t="shared" si="40"/>
        <v>F</v>
      </c>
      <c r="P263" s="60" t="str">
        <f t="shared" si="41"/>
        <v>CAFH</v>
      </c>
      <c r="Q263" s="61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3">
      <c r="A264" s="28">
        <v>89</v>
      </c>
      <c r="B264" s="28">
        <v>148664</v>
      </c>
      <c r="C264" s="129" t="s">
        <v>764</v>
      </c>
      <c r="D264" s="128" t="s">
        <v>143</v>
      </c>
      <c r="E264" s="128" t="s">
        <v>146</v>
      </c>
      <c r="F264" s="29">
        <v>22569</v>
      </c>
      <c r="G264" s="56" t="str">
        <f t="shared" ca="1" si="42"/>
        <v>V 55</v>
      </c>
      <c r="H264" s="28">
        <f t="shared" ca="1" si="43"/>
        <v>59</v>
      </c>
      <c r="J264" s="38" t="str">
        <f t="shared" si="37"/>
        <v>Teresa M. Sousa</v>
      </c>
      <c r="K264" s="39">
        <f t="shared" si="38"/>
        <v>89</v>
      </c>
      <c r="L264" s="39">
        <f t="shared" si="39"/>
        <v>148664</v>
      </c>
      <c r="M264" s="40">
        <f t="shared" si="44"/>
        <v>22569</v>
      </c>
      <c r="N264" s="41" t="str">
        <f t="shared" ca="1" si="45"/>
        <v>V 55</v>
      </c>
      <c r="O264" s="41" t="str">
        <f t="shared" si="40"/>
        <v>F</v>
      </c>
      <c r="P264" s="60" t="str">
        <f t="shared" si="41"/>
        <v>CAFH</v>
      </c>
      <c r="Q264" s="61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3">
      <c r="A265" s="28">
        <v>82</v>
      </c>
      <c r="B265" s="28">
        <v>126174</v>
      </c>
      <c r="C265" s="129" t="s">
        <v>177</v>
      </c>
      <c r="D265" s="128" t="s">
        <v>143</v>
      </c>
      <c r="E265" s="128" t="s">
        <v>146</v>
      </c>
      <c r="F265" s="29">
        <v>30632</v>
      </c>
      <c r="G265" s="56" t="str">
        <f t="shared" ca="1" si="42"/>
        <v>V 35</v>
      </c>
      <c r="H265" s="28">
        <f t="shared" ca="1" si="43"/>
        <v>37</v>
      </c>
      <c r="J265" s="38" t="str">
        <f t="shared" si="37"/>
        <v>Bárbara Correia</v>
      </c>
      <c r="K265" s="39">
        <f t="shared" si="38"/>
        <v>82</v>
      </c>
      <c r="L265" s="39">
        <f t="shared" si="39"/>
        <v>126174</v>
      </c>
      <c r="M265" s="40">
        <f t="shared" si="44"/>
        <v>30632</v>
      </c>
      <c r="N265" s="41" t="str">
        <f t="shared" ca="1" si="45"/>
        <v>V 35</v>
      </c>
      <c r="O265" s="41" t="str">
        <f t="shared" si="40"/>
        <v>F</v>
      </c>
      <c r="P265" s="60" t="str">
        <f t="shared" si="41"/>
        <v>CAFH</v>
      </c>
      <c r="Q265" s="61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3">
      <c r="A266" s="28">
        <v>86</v>
      </c>
      <c r="B266" s="28">
        <v>125651</v>
      </c>
      <c r="C266" s="129" t="s">
        <v>183</v>
      </c>
      <c r="D266" s="128" t="s">
        <v>143</v>
      </c>
      <c r="E266" s="128" t="s">
        <v>146</v>
      </c>
      <c r="F266" s="29">
        <v>26664</v>
      </c>
      <c r="G266" s="56" t="str">
        <f t="shared" ca="1" si="42"/>
        <v>V 45</v>
      </c>
      <c r="H266" s="28">
        <f t="shared" ca="1" si="43"/>
        <v>48</v>
      </c>
      <c r="J266" s="38" t="str">
        <f t="shared" si="37"/>
        <v>Lenka Mendonça</v>
      </c>
      <c r="K266" s="39">
        <f t="shared" si="38"/>
        <v>86</v>
      </c>
      <c r="L266" s="39">
        <f t="shared" si="39"/>
        <v>125651</v>
      </c>
      <c r="M266" s="40">
        <f t="shared" si="44"/>
        <v>26664</v>
      </c>
      <c r="N266" s="41" t="str">
        <f t="shared" ca="1" si="45"/>
        <v>V 45</v>
      </c>
      <c r="O266" s="41" t="str">
        <f t="shared" si="40"/>
        <v>F</v>
      </c>
      <c r="P266" s="60" t="str">
        <f t="shared" si="41"/>
        <v>CAFH</v>
      </c>
      <c r="Q266" s="61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3">
      <c r="A267" s="28">
        <v>1351</v>
      </c>
      <c r="B267" s="28">
        <v>127872</v>
      </c>
      <c r="C267" s="129" t="s">
        <v>304</v>
      </c>
      <c r="D267" s="128" t="s">
        <v>143</v>
      </c>
      <c r="E267" s="128" t="s">
        <v>145</v>
      </c>
      <c r="F267" s="29">
        <v>29327</v>
      </c>
      <c r="G267" s="56" t="str">
        <f t="shared" ca="1" si="42"/>
        <v>V 40</v>
      </c>
      <c r="H267" s="28">
        <f t="shared" ca="1" si="43"/>
        <v>41</v>
      </c>
      <c r="J267" s="38" t="str">
        <f t="shared" si="37"/>
        <v>Duarte Xavier</v>
      </c>
      <c r="K267" s="39">
        <f t="shared" si="38"/>
        <v>1351</v>
      </c>
      <c r="L267" s="39">
        <f t="shared" si="39"/>
        <v>127872</v>
      </c>
      <c r="M267" s="40">
        <f t="shared" si="44"/>
        <v>29327</v>
      </c>
      <c r="N267" s="41" t="str">
        <f t="shared" ca="1" si="45"/>
        <v>V 40</v>
      </c>
      <c r="O267" s="41" t="str">
        <f t="shared" si="40"/>
        <v>M</v>
      </c>
      <c r="P267" s="60" t="str">
        <f t="shared" si="41"/>
        <v>CAFH</v>
      </c>
      <c r="Q267" s="61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3">
      <c r="A268" s="28">
        <v>1343</v>
      </c>
      <c r="B268" s="28">
        <v>125631</v>
      </c>
      <c r="C268" s="129" t="s">
        <v>200</v>
      </c>
      <c r="D268" s="128" t="s">
        <v>143</v>
      </c>
      <c r="E268" s="128" t="s">
        <v>145</v>
      </c>
      <c r="F268" s="29">
        <v>27356</v>
      </c>
      <c r="G268" s="56" t="str">
        <f t="shared" ca="1" si="42"/>
        <v>V 45</v>
      </c>
      <c r="H268" s="28">
        <f t="shared" ca="1" si="43"/>
        <v>46</v>
      </c>
      <c r="J268" s="38" t="str">
        <f t="shared" si="37"/>
        <v>Marco Brás</v>
      </c>
      <c r="K268" s="39">
        <f t="shared" si="38"/>
        <v>1343</v>
      </c>
      <c r="L268" s="39">
        <f t="shared" si="39"/>
        <v>125631</v>
      </c>
      <c r="M268" s="40">
        <f t="shared" si="44"/>
        <v>27356</v>
      </c>
      <c r="N268" s="41" t="str">
        <f t="shared" ca="1" si="45"/>
        <v>V 45</v>
      </c>
      <c r="O268" s="41" t="str">
        <f t="shared" si="40"/>
        <v>M</v>
      </c>
      <c r="P268" s="60" t="str">
        <f t="shared" si="41"/>
        <v>CAFH</v>
      </c>
      <c r="Q268" s="61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3">
      <c r="A269" s="28">
        <v>1362</v>
      </c>
      <c r="B269" s="28">
        <v>125486</v>
      </c>
      <c r="C269" s="129" t="s">
        <v>186</v>
      </c>
      <c r="D269" s="128" t="s">
        <v>143</v>
      </c>
      <c r="E269" s="128" t="s">
        <v>145</v>
      </c>
      <c r="F269" s="29">
        <v>31717</v>
      </c>
      <c r="G269" s="56" t="str">
        <f t="shared" ca="1" si="42"/>
        <v>Sénior</v>
      </c>
      <c r="H269" s="28">
        <f t="shared" ca="1" si="43"/>
        <v>34</v>
      </c>
      <c r="J269" s="38" t="str">
        <f t="shared" si="37"/>
        <v>António Jardim</v>
      </c>
      <c r="K269" s="39">
        <f t="shared" si="38"/>
        <v>1362</v>
      </c>
      <c r="L269" s="39">
        <f t="shared" si="39"/>
        <v>125486</v>
      </c>
      <c r="M269" s="40">
        <f t="shared" si="44"/>
        <v>31717</v>
      </c>
      <c r="N269" s="41" t="str">
        <f t="shared" ca="1" si="45"/>
        <v>Sénior</v>
      </c>
      <c r="O269" s="41" t="str">
        <f t="shared" si="40"/>
        <v>M</v>
      </c>
      <c r="P269" s="60" t="str">
        <f t="shared" si="41"/>
        <v>CAFH</v>
      </c>
      <c r="Q269" s="61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3">
      <c r="A270" s="28">
        <v>1339</v>
      </c>
      <c r="B270" s="28">
        <v>125489</v>
      </c>
      <c r="C270" s="129" t="s">
        <v>189</v>
      </c>
      <c r="D270" s="128" t="s">
        <v>143</v>
      </c>
      <c r="E270" s="128" t="s">
        <v>145</v>
      </c>
      <c r="F270" s="29">
        <v>25791</v>
      </c>
      <c r="G270" s="56" t="str">
        <f t="shared" ca="1" si="42"/>
        <v>V 50</v>
      </c>
      <c r="H270" s="28">
        <f t="shared" ca="1" si="43"/>
        <v>50</v>
      </c>
      <c r="J270" s="38" t="str">
        <f t="shared" si="37"/>
        <v>Duarte Andrade</v>
      </c>
      <c r="K270" s="39">
        <f t="shared" si="38"/>
        <v>1339</v>
      </c>
      <c r="L270" s="39">
        <f t="shared" si="39"/>
        <v>125489</v>
      </c>
      <c r="M270" s="40">
        <f t="shared" si="44"/>
        <v>25791</v>
      </c>
      <c r="N270" s="41" t="str">
        <f t="shared" ca="1" si="45"/>
        <v>V 50</v>
      </c>
      <c r="O270" s="41" t="str">
        <f t="shared" si="40"/>
        <v>M</v>
      </c>
      <c r="P270" s="60" t="str">
        <f t="shared" si="41"/>
        <v>CAFH</v>
      </c>
      <c r="Q270" s="61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3">
      <c r="A271" s="28">
        <v>1550</v>
      </c>
      <c r="B271" s="28">
        <v>126086</v>
      </c>
      <c r="C271" s="129" t="s">
        <v>197</v>
      </c>
      <c r="D271" s="128" t="s">
        <v>143</v>
      </c>
      <c r="E271" s="128" t="s">
        <v>145</v>
      </c>
      <c r="F271" s="29">
        <v>19910</v>
      </c>
      <c r="G271" s="56" t="str">
        <f t="shared" ca="1" si="42"/>
        <v>V 65</v>
      </c>
      <c r="H271" s="28">
        <f t="shared" ca="1" si="43"/>
        <v>66</v>
      </c>
      <c r="J271" s="38" t="str">
        <f t="shared" si="37"/>
        <v>Jorge Botelho</v>
      </c>
      <c r="K271" s="39">
        <f t="shared" si="38"/>
        <v>1550</v>
      </c>
      <c r="L271" s="39">
        <f t="shared" si="39"/>
        <v>126086</v>
      </c>
      <c r="M271" s="40">
        <f t="shared" si="44"/>
        <v>19910</v>
      </c>
      <c r="N271" s="41" t="str">
        <f t="shared" ca="1" si="45"/>
        <v>V 65</v>
      </c>
      <c r="O271" s="41" t="str">
        <f t="shared" si="40"/>
        <v>M</v>
      </c>
      <c r="P271" s="60" t="str">
        <f t="shared" si="41"/>
        <v>CAFH</v>
      </c>
      <c r="Q271" s="6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3">
      <c r="A272" s="28">
        <v>1350</v>
      </c>
      <c r="B272" s="28">
        <v>157478</v>
      </c>
      <c r="C272" s="129" t="s">
        <v>1104</v>
      </c>
      <c r="D272" s="128" t="s">
        <v>143</v>
      </c>
      <c r="E272" s="128" t="s">
        <v>145</v>
      </c>
      <c r="F272" s="29">
        <v>28757</v>
      </c>
      <c r="G272" s="56" t="str">
        <f t="shared" ca="1" si="42"/>
        <v>V 40</v>
      </c>
      <c r="H272" s="28">
        <f t="shared" ca="1" si="43"/>
        <v>42</v>
      </c>
      <c r="J272" s="38" t="str">
        <f t="shared" si="37"/>
        <v>Hélder N. Fernandes</v>
      </c>
      <c r="K272" s="39">
        <f t="shared" si="38"/>
        <v>1350</v>
      </c>
      <c r="L272" s="39">
        <f t="shared" si="39"/>
        <v>157478</v>
      </c>
      <c r="M272" s="40">
        <f t="shared" si="44"/>
        <v>28757</v>
      </c>
      <c r="N272" s="41" t="str">
        <f t="shared" ca="1" si="45"/>
        <v>V 40</v>
      </c>
      <c r="O272" s="41" t="str">
        <f t="shared" si="40"/>
        <v>M</v>
      </c>
      <c r="P272" s="60" t="str">
        <f t="shared" si="41"/>
        <v>CAFH</v>
      </c>
      <c r="Q272" s="61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3">
      <c r="A273" s="28">
        <v>1727</v>
      </c>
      <c r="B273" s="28">
        <v>155168</v>
      </c>
      <c r="C273" s="129" t="s">
        <v>1106</v>
      </c>
      <c r="D273" s="128" t="s">
        <v>143</v>
      </c>
      <c r="E273" s="128" t="s">
        <v>145</v>
      </c>
      <c r="F273" s="29">
        <v>37563</v>
      </c>
      <c r="G273" s="56" t="str">
        <f t="shared" ca="1" si="42"/>
        <v>Júnior</v>
      </c>
      <c r="H273" s="28">
        <f t="shared" ca="1" si="43"/>
        <v>18</v>
      </c>
      <c r="J273" s="38" t="str">
        <f t="shared" si="37"/>
        <v>Duarte Pessoa</v>
      </c>
      <c r="K273" s="39">
        <f t="shared" si="38"/>
        <v>1727</v>
      </c>
      <c r="L273" s="39">
        <f t="shared" si="39"/>
        <v>155168</v>
      </c>
      <c r="M273" s="40">
        <f t="shared" si="44"/>
        <v>37563</v>
      </c>
      <c r="N273" s="41" t="str">
        <f t="shared" ca="1" si="45"/>
        <v>Júnior</v>
      </c>
      <c r="O273" s="41" t="str">
        <f t="shared" si="40"/>
        <v>M</v>
      </c>
      <c r="P273" s="60" t="str">
        <f t="shared" si="41"/>
        <v>CAFH</v>
      </c>
      <c r="Q273" s="61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3">
      <c r="A274" s="28">
        <v>1349</v>
      </c>
      <c r="B274" s="28">
        <v>125517</v>
      </c>
      <c r="C274" s="129" t="s">
        <v>201</v>
      </c>
      <c r="D274" s="128" t="s">
        <v>143</v>
      </c>
      <c r="E274" s="128" t="s">
        <v>145</v>
      </c>
      <c r="F274" s="29">
        <v>27753</v>
      </c>
      <c r="G274" s="56" t="str">
        <f t="shared" ca="1" si="42"/>
        <v>V 45</v>
      </c>
      <c r="H274" s="28">
        <f t="shared" ca="1" si="43"/>
        <v>45</v>
      </c>
      <c r="J274" s="38" t="str">
        <f t="shared" si="37"/>
        <v>Miguel Passos</v>
      </c>
      <c r="K274" s="39">
        <f t="shared" si="38"/>
        <v>1349</v>
      </c>
      <c r="L274" s="39">
        <f t="shared" si="39"/>
        <v>125517</v>
      </c>
      <c r="M274" s="40">
        <f t="shared" si="44"/>
        <v>27753</v>
      </c>
      <c r="N274" s="41" t="str">
        <f t="shared" ca="1" si="45"/>
        <v>V 45</v>
      </c>
      <c r="O274" s="41" t="str">
        <f t="shared" si="40"/>
        <v>M</v>
      </c>
      <c r="P274" s="60" t="str">
        <f t="shared" si="41"/>
        <v>CAFH</v>
      </c>
      <c r="Q274" s="61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3">
      <c r="A275" s="28">
        <v>1342</v>
      </c>
      <c r="B275" s="28">
        <v>127728</v>
      </c>
      <c r="C275" s="129" t="s">
        <v>243</v>
      </c>
      <c r="D275" s="128" t="s">
        <v>143</v>
      </c>
      <c r="E275" s="128" t="s">
        <v>145</v>
      </c>
      <c r="F275" s="29">
        <v>26623</v>
      </c>
      <c r="G275" s="56" t="str">
        <f t="shared" ca="1" si="42"/>
        <v>V 45</v>
      </c>
      <c r="H275" s="28">
        <f t="shared" ca="1" si="43"/>
        <v>48</v>
      </c>
      <c r="J275" s="38" t="str">
        <f t="shared" si="37"/>
        <v>Avelino Freitas</v>
      </c>
      <c r="K275" s="39">
        <f t="shared" si="38"/>
        <v>1342</v>
      </c>
      <c r="L275" s="39">
        <f t="shared" si="39"/>
        <v>127728</v>
      </c>
      <c r="M275" s="40">
        <f t="shared" si="44"/>
        <v>26623</v>
      </c>
      <c r="N275" s="41" t="str">
        <f t="shared" ca="1" si="45"/>
        <v>V 45</v>
      </c>
      <c r="O275" s="41" t="str">
        <f t="shared" si="40"/>
        <v>M</v>
      </c>
      <c r="P275" s="60" t="str">
        <f t="shared" si="41"/>
        <v>CAFH</v>
      </c>
      <c r="Q275" s="61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3">
      <c r="A276" s="28">
        <v>1348</v>
      </c>
      <c r="B276" s="28">
        <v>127905</v>
      </c>
      <c r="C276" s="129" t="s">
        <v>301</v>
      </c>
      <c r="D276" s="128" t="s">
        <v>143</v>
      </c>
      <c r="E276" s="128" t="s">
        <v>145</v>
      </c>
      <c r="F276" s="29">
        <v>27830</v>
      </c>
      <c r="G276" s="56" t="str">
        <f t="shared" ca="1" si="42"/>
        <v>V 45</v>
      </c>
      <c r="H276" s="28">
        <f t="shared" ca="1" si="43"/>
        <v>45</v>
      </c>
      <c r="J276" s="38" t="str">
        <f t="shared" si="37"/>
        <v>Raul Goulart</v>
      </c>
      <c r="K276" s="39">
        <f t="shared" si="38"/>
        <v>1348</v>
      </c>
      <c r="L276" s="39">
        <f t="shared" si="39"/>
        <v>127905</v>
      </c>
      <c r="M276" s="40">
        <f t="shared" si="44"/>
        <v>27830</v>
      </c>
      <c r="N276" s="41" t="str">
        <f t="shared" ca="1" si="45"/>
        <v>V 45</v>
      </c>
      <c r="O276" s="41" t="str">
        <f t="shared" si="40"/>
        <v>M</v>
      </c>
      <c r="P276" s="60" t="str">
        <f t="shared" si="41"/>
        <v>CAFH</v>
      </c>
      <c r="Q276" s="61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3">
      <c r="A277" s="28">
        <v>1337</v>
      </c>
      <c r="B277" s="28">
        <v>126590</v>
      </c>
      <c r="C277" s="129" t="s">
        <v>192</v>
      </c>
      <c r="D277" s="128" t="s">
        <v>143</v>
      </c>
      <c r="E277" s="128" t="s">
        <v>145</v>
      </c>
      <c r="F277" s="29">
        <v>23789</v>
      </c>
      <c r="G277" s="56" t="str">
        <f t="shared" ca="1" si="42"/>
        <v>V 55</v>
      </c>
      <c r="H277" s="28">
        <f t="shared" ca="1" si="43"/>
        <v>56</v>
      </c>
      <c r="J277" s="38" t="str">
        <f t="shared" si="37"/>
        <v>Emídio Rodrigues</v>
      </c>
      <c r="K277" s="39">
        <f t="shared" si="38"/>
        <v>1337</v>
      </c>
      <c r="L277" s="39">
        <f t="shared" si="39"/>
        <v>126590</v>
      </c>
      <c r="M277" s="40">
        <f t="shared" si="44"/>
        <v>23789</v>
      </c>
      <c r="N277" s="41" t="str">
        <f t="shared" ca="1" si="45"/>
        <v>V 55</v>
      </c>
      <c r="O277" s="41" t="str">
        <f t="shared" si="40"/>
        <v>M</v>
      </c>
      <c r="P277" s="60" t="str">
        <f t="shared" si="41"/>
        <v>CAFH</v>
      </c>
      <c r="Q277" s="61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3">
      <c r="A278" s="28">
        <v>1361</v>
      </c>
      <c r="B278" s="28">
        <v>125702</v>
      </c>
      <c r="C278" s="129" t="s">
        <v>193</v>
      </c>
      <c r="D278" s="128" t="s">
        <v>143</v>
      </c>
      <c r="E278" s="128" t="s">
        <v>145</v>
      </c>
      <c r="F278" s="29">
        <v>31837</v>
      </c>
      <c r="G278" s="56" t="str">
        <f t="shared" ca="1" si="42"/>
        <v>Sénior</v>
      </c>
      <c r="H278" s="28">
        <f t="shared" ca="1" si="43"/>
        <v>34</v>
      </c>
      <c r="J278" s="38" t="str">
        <f t="shared" si="37"/>
        <v>Énio Silva</v>
      </c>
      <c r="K278" s="39">
        <f t="shared" si="38"/>
        <v>1361</v>
      </c>
      <c r="L278" s="39">
        <f t="shared" si="39"/>
        <v>125702</v>
      </c>
      <c r="M278" s="40">
        <f t="shared" si="44"/>
        <v>31837</v>
      </c>
      <c r="N278" s="41" t="str">
        <f t="shared" ca="1" si="45"/>
        <v>Sénior</v>
      </c>
      <c r="O278" s="41" t="str">
        <f t="shared" si="40"/>
        <v>M</v>
      </c>
      <c r="P278" s="60" t="str">
        <f t="shared" si="41"/>
        <v>CAFH</v>
      </c>
      <c r="Q278" s="61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3">
      <c r="A279" s="28">
        <v>1356</v>
      </c>
      <c r="B279" s="28">
        <v>135789</v>
      </c>
      <c r="C279" s="129" t="s">
        <v>417</v>
      </c>
      <c r="D279" s="128" t="s">
        <v>143</v>
      </c>
      <c r="E279" s="128" t="s">
        <v>145</v>
      </c>
      <c r="F279" s="29">
        <v>36530</v>
      </c>
      <c r="G279" s="56" t="str">
        <f t="shared" ca="1" si="42"/>
        <v>sub 23</v>
      </c>
      <c r="H279" s="28">
        <f t="shared" ca="1" si="43"/>
        <v>21</v>
      </c>
      <c r="J279" s="38" t="str">
        <f t="shared" si="37"/>
        <v>Tiago Fabiano Silva</v>
      </c>
      <c r="K279" s="39">
        <f t="shared" si="38"/>
        <v>1356</v>
      </c>
      <c r="L279" s="39">
        <f t="shared" si="39"/>
        <v>135789</v>
      </c>
      <c r="M279" s="40">
        <f t="shared" si="44"/>
        <v>36530</v>
      </c>
      <c r="N279" s="41" t="str">
        <f t="shared" ca="1" si="45"/>
        <v>sub 23</v>
      </c>
      <c r="O279" s="41" t="str">
        <f t="shared" si="40"/>
        <v>M</v>
      </c>
      <c r="P279" s="60" t="str">
        <f t="shared" si="41"/>
        <v>CAFH</v>
      </c>
      <c r="Q279" s="61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3">
      <c r="A280" s="28">
        <v>1726</v>
      </c>
      <c r="B280" s="28">
        <v>157856</v>
      </c>
      <c r="C280" s="129" t="s">
        <v>1100</v>
      </c>
      <c r="D280" s="128" t="s">
        <v>143</v>
      </c>
      <c r="E280" s="128" t="s">
        <v>145</v>
      </c>
      <c r="F280" s="29">
        <v>38334</v>
      </c>
      <c r="G280" s="56" t="str">
        <f t="shared" ca="1" si="42"/>
        <v>Juvenil</v>
      </c>
      <c r="H280" s="28">
        <f t="shared" ca="1" si="43"/>
        <v>16</v>
      </c>
      <c r="J280" s="38" t="str">
        <f t="shared" si="37"/>
        <v>Fernando Silvino</v>
      </c>
      <c r="K280" s="39">
        <f t="shared" si="38"/>
        <v>1726</v>
      </c>
      <c r="L280" s="39">
        <f t="shared" si="39"/>
        <v>157856</v>
      </c>
      <c r="M280" s="40">
        <f t="shared" si="44"/>
        <v>38334</v>
      </c>
      <c r="N280" s="41" t="str">
        <f t="shared" ca="1" si="45"/>
        <v>Juvenil</v>
      </c>
      <c r="O280" s="41" t="str">
        <f t="shared" si="40"/>
        <v>M</v>
      </c>
      <c r="P280" s="60" t="str">
        <f t="shared" si="41"/>
        <v>CAFH</v>
      </c>
      <c r="Q280" s="61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3">
      <c r="A281" s="28">
        <v>1895</v>
      </c>
      <c r="B281" s="28">
        <v>157855</v>
      </c>
      <c r="C281" s="129" t="s">
        <v>1099</v>
      </c>
      <c r="D281" s="128" t="s">
        <v>143</v>
      </c>
      <c r="E281" s="128" t="s">
        <v>145</v>
      </c>
      <c r="F281" s="29">
        <v>38844</v>
      </c>
      <c r="G281" s="56" t="str">
        <f t="shared" ca="1" si="42"/>
        <v>Iniciado</v>
      </c>
      <c r="H281" s="28">
        <f t="shared" ca="1" si="43"/>
        <v>14</v>
      </c>
      <c r="J281" s="38" t="str">
        <f t="shared" si="37"/>
        <v>Mário Silvino</v>
      </c>
      <c r="K281" s="39">
        <f t="shared" si="38"/>
        <v>1895</v>
      </c>
      <c r="L281" s="39">
        <f t="shared" si="39"/>
        <v>157855</v>
      </c>
      <c r="M281" s="40">
        <f t="shared" si="44"/>
        <v>38844</v>
      </c>
      <c r="N281" s="41" t="str">
        <f t="shared" ca="1" si="45"/>
        <v>Iniciado</v>
      </c>
      <c r="O281" s="41" t="str">
        <f t="shared" si="40"/>
        <v>M</v>
      </c>
      <c r="P281" s="60" t="str">
        <f t="shared" si="41"/>
        <v>CAFH</v>
      </c>
      <c r="Q281" s="6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3">
      <c r="A282" s="28">
        <v>1347</v>
      </c>
      <c r="B282" s="28">
        <v>131119</v>
      </c>
      <c r="C282" s="129" t="s">
        <v>271</v>
      </c>
      <c r="D282" s="128" t="s">
        <v>143</v>
      </c>
      <c r="E282" s="128" t="s">
        <v>145</v>
      </c>
      <c r="F282" s="29">
        <v>29135</v>
      </c>
      <c r="G282" s="56" t="str">
        <f t="shared" ca="1" si="42"/>
        <v>V 40</v>
      </c>
      <c r="H282" s="28">
        <f t="shared" ca="1" si="43"/>
        <v>41</v>
      </c>
      <c r="J282" s="38" t="str">
        <f t="shared" si="37"/>
        <v>Luís Barros</v>
      </c>
      <c r="K282" s="39">
        <f t="shared" si="38"/>
        <v>1347</v>
      </c>
      <c r="L282" s="39">
        <f t="shared" si="39"/>
        <v>131119</v>
      </c>
      <c r="M282" s="40">
        <f t="shared" si="44"/>
        <v>29135</v>
      </c>
      <c r="N282" s="41" t="str">
        <f t="shared" ca="1" si="45"/>
        <v>V 40</v>
      </c>
      <c r="O282" s="41" t="str">
        <f t="shared" si="40"/>
        <v>M</v>
      </c>
      <c r="P282" s="60" t="str">
        <f t="shared" si="41"/>
        <v>CAFH</v>
      </c>
      <c r="Q282" s="61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3">
      <c r="A283" s="28">
        <v>1894</v>
      </c>
      <c r="B283" s="28">
        <v>157768</v>
      </c>
      <c r="C283" s="129" t="s">
        <v>1107</v>
      </c>
      <c r="D283" s="128" t="s">
        <v>143</v>
      </c>
      <c r="E283" s="128" t="s">
        <v>145</v>
      </c>
      <c r="F283" s="29">
        <v>39372</v>
      </c>
      <c r="G283" s="56" t="str">
        <f t="shared" ca="1" si="42"/>
        <v>Iniciado</v>
      </c>
      <c r="H283" s="28">
        <f t="shared" ca="1" si="43"/>
        <v>13</v>
      </c>
      <c r="J283" s="38" t="str">
        <f t="shared" si="37"/>
        <v>Lucas Quintal</v>
      </c>
      <c r="K283" s="39">
        <f t="shared" si="38"/>
        <v>1894</v>
      </c>
      <c r="L283" s="39">
        <f t="shared" si="39"/>
        <v>157768</v>
      </c>
      <c r="M283" s="40">
        <f t="shared" si="44"/>
        <v>39372</v>
      </c>
      <c r="N283" s="41" t="str">
        <f t="shared" ca="1" si="45"/>
        <v>Iniciado</v>
      </c>
      <c r="O283" s="41" t="str">
        <f t="shared" si="40"/>
        <v>M</v>
      </c>
      <c r="P283" s="60" t="str">
        <f t="shared" si="41"/>
        <v>CAFH</v>
      </c>
      <c r="Q283" s="61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3">
      <c r="A284" s="28">
        <v>2240</v>
      </c>
      <c r="B284" s="28">
        <v>157766</v>
      </c>
      <c r="C284" s="129" t="s">
        <v>1105</v>
      </c>
      <c r="D284" s="128" t="s">
        <v>143</v>
      </c>
      <c r="E284" s="128" t="s">
        <v>145</v>
      </c>
      <c r="F284" s="29">
        <v>41187</v>
      </c>
      <c r="G284" s="56" t="str">
        <f t="shared" ca="1" si="42"/>
        <v>Benjamim A</v>
      </c>
      <c r="H284" s="28">
        <f t="shared" ca="1" si="43"/>
        <v>8</v>
      </c>
      <c r="J284" s="38" t="str">
        <f t="shared" si="37"/>
        <v>Guilherme Fernandes</v>
      </c>
      <c r="K284" s="39">
        <f t="shared" si="38"/>
        <v>2240</v>
      </c>
      <c r="L284" s="39">
        <f t="shared" si="39"/>
        <v>157766</v>
      </c>
      <c r="M284" s="40">
        <f t="shared" si="44"/>
        <v>41187</v>
      </c>
      <c r="N284" s="41" t="str">
        <f t="shared" ca="1" si="45"/>
        <v>Benjamim A</v>
      </c>
      <c r="O284" s="41" t="str">
        <f t="shared" si="40"/>
        <v>M</v>
      </c>
      <c r="P284" s="60" t="str">
        <f t="shared" si="41"/>
        <v>CAFH</v>
      </c>
      <c r="Q284" s="61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3">
      <c r="A285" s="28">
        <v>1355</v>
      </c>
      <c r="B285" s="28">
        <v>158094</v>
      </c>
      <c r="C285" s="129" t="s">
        <v>1101</v>
      </c>
      <c r="D285" s="128" t="s">
        <v>143</v>
      </c>
      <c r="E285" s="128" t="s">
        <v>145</v>
      </c>
      <c r="F285" s="29">
        <v>30768</v>
      </c>
      <c r="G285" s="56" t="str">
        <f t="shared" ca="1" si="42"/>
        <v>V 35</v>
      </c>
      <c r="H285" s="28">
        <f t="shared" ca="1" si="43"/>
        <v>37</v>
      </c>
      <c r="J285" s="38" t="str">
        <f t="shared" si="37"/>
        <v>Alexandre Veríssimo</v>
      </c>
      <c r="K285" s="39">
        <f t="shared" si="38"/>
        <v>1355</v>
      </c>
      <c r="L285" s="39">
        <f t="shared" si="39"/>
        <v>158094</v>
      </c>
      <c r="M285" s="40">
        <f t="shared" si="44"/>
        <v>30768</v>
      </c>
      <c r="N285" s="41" t="str">
        <f t="shared" ca="1" si="45"/>
        <v>V 35</v>
      </c>
      <c r="O285" s="41" t="str">
        <f t="shared" si="40"/>
        <v>M</v>
      </c>
      <c r="P285" s="60" t="str">
        <f t="shared" si="41"/>
        <v>CAFH</v>
      </c>
      <c r="Q285" s="61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3">
      <c r="A286" s="28">
        <v>1341</v>
      </c>
      <c r="B286" s="28">
        <v>125654</v>
      </c>
      <c r="C286" s="129" t="s">
        <v>187</v>
      </c>
      <c r="D286" s="128" t="s">
        <v>143</v>
      </c>
      <c r="E286" s="128" t="s">
        <v>145</v>
      </c>
      <c r="F286" s="29">
        <v>26787</v>
      </c>
      <c r="G286" s="56" t="str">
        <f t="shared" ca="1" si="42"/>
        <v>V 45</v>
      </c>
      <c r="H286" s="28">
        <f t="shared" ca="1" si="43"/>
        <v>47</v>
      </c>
      <c r="J286" s="38" t="str">
        <f t="shared" si="37"/>
        <v>António Mendonça</v>
      </c>
      <c r="K286" s="39">
        <f t="shared" si="38"/>
        <v>1341</v>
      </c>
      <c r="L286" s="39">
        <f t="shared" si="39"/>
        <v>125654</v>
      </c>
      <c r="M286" s="40">
        <f t="shared" si="44"/>
        <v>26787</v>
      </c>
      <c r="N286" s="41" t="str">
        <f t="shared" ca="1" si="45"/>
        <v>V 45</v>
      </c>
      <c r="O286" s="41" t="str">
        <f t="shared" si="40"/>
        <v>M</v>
      </c>
      <c r="P286" s="60" t="str">
        <f t="shared" si="41"/>
        <v>CAFH</v>
      </c>
      <c r="Q286" s="61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3">
      <c r="A287" s="28">
        <v>1360</v>
      </c>
      <c r="B287" s="28">
        <v>126386</v>
      </c>
      <c r="C287" s="129" t="s">
        <v>191</v>
      </c>
      <c r="D287" s="128" t="s">
        <v>143</v>
      </c>
      <c r="E287" s="128" t="s">
        <v>145</v>
      </c>
      <c r="F287" s="29">
        <v>31681</v>
      </c>
      <c r="G287" s="56" t="str">
        <f t="shared" ca="1" si="42"/>
        <v>Sénior</v>
      </c>
      <c r="H287" s="28">
        <f t="shared" ca="1" si="43"/>
        <v>34</v>
      </c>
      <c r="J287" s="38" t="str">
        <f t="shared" si="37"/>
        <v>Élvio Silva</v>
      </c>
      <c r="K287" s="39">
        <f t="shared" si="38"/>
        <v>1360</v>
      </c>
      <c r="L287" s="39">
        <f t="shared" si="39"/>
        <v>126386</v>
      </c>
      <c r="M287" s="40">
        <f t="shared" si="44"/>
        <v>31681</v>
      </c>
      <c r="N287" s="41" t="str">
        <f t="shared" ca="1" si="45"/>
        <v>Sénior</v>
      </c>
      <c r="O287" s="41" t="str">
        <f t="shared" si="40"/>
        <v>M</v>
      </c>
      <c r="P287" s="60" t="str">
        <f t="shared" si="41"/>
        <v>CAFH</v>
      </c>
      <c r="Q287" s="61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3">
      <c r="A288" s="28">
        <v>1346</v>
      </c>
      <c r="B288" s="28">
        <v>125735</v>
      </c>
      <c r="C288" s="129" t="s">
        <v>202</v>
      </c>
      <c r="D288" s="128" t="s">
        <v>143</v>
      </c>
      <c r="E288" s="128" t="s">
        <v>145</v>
      </c>
      <c r="F288" s="29">
        <v>28078</v>
      </c>
      <c r="G288" s="56" t="str">
        <f t="shared" ca="1" si="42"/>
        <v>V 40</v>
      </c>
      <c r="H288" s="28">
        <f t="shared" ca="1" si="43"/>
        <v>44</v>
      </c>
      <c r="J288" s="38" t="str">
        <f t="shared" si="37"/>
        <v>Nuno Silva</v>
      </c>
      <c r="K288" s="39">
        <f t="shared" si="38"/>
        <v>1346</v>
      </c>
      <c r="L288" s="39">
        <f t="shared" si="39"/>
        <v>125735</v>
      </c>
      <c r="M288" s="40">
        <f t="shared" si="44"/>
        <v>28078</v>
      </c>
      <c r="N288" s="41" t="str">
        <f t="shared" ca="1" si="45"/>
        <v>V 40</v>
      </c>
      <c r="O288" s="41" t="str">
        <f t="shared" si="40"/>
        <v>M</v>
      </c>
      <c r="P288" s="60" t="str">
        <f t="shared" si="41"/>
        <v>CAFH</v>
      </c>
      <c r="Q288" s="61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3">
      <c r="A289" s="28">
        <v>1359</v>
      </c>
      <c r="B289" s="28">
        <v>155509</v>
      </c>
      <c r="C289" s="129" t="s">
        <v>1034</v>
      </c>
      <c r="D289" s="128" t="s">
        <v>143</v>
      </c>
      <c r="E289" s="128" t="s">
        <v>145</v>
      </c>
      <c r="F289" s="29">
        <v>34515</v>
      </c>
      <c r="G289" s="56" t="str">
        <f t="shared" ca="1" si="42"/>
        <v>Sénior</v>
      </c>
      <c r="H289" s="28">
        <f t="shared" ca="1" si="43"/>
        <v>26</v>
      </c>
      <c r="J289" s="38" t="str">
        <f t="shared" si="37"/>
        <v>Telmo Ramos</v>
      </c>
      <c r="K289" s="39">
        <f t="shared" si="38"/>
        <v>1359</v>
      </c>
      <c r="L289" s="39">
        <f t="shared" si="39"/>
        <v>155509</v>
      </c>
      <c r="M289" s="40">
        <f t="shared" si="44"/>
        <v>34515</v>
      </c>
      <c r="N289" s="41" t="str">
        <f t="shared" ca="1" si="45"/>
        <v>Sénior</v>
      </c>
      <c r="O289" s="41" t="str">
        <f t="shared" si="40"/>
        <v>M</v>
      </c>
      <c r="P289" s="60" t="str">
        <f t="shared" si="41"/>
        <v>CAFH</v>
      </c>
      <c r="Q289" s="61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3">
      <c r="A290" s="28">
        <v>1336</v>
      </c>
      <c r="B290" s="28">
        <v>125485</v>
      </c>
      <c r="C290" s="129" t="s">
        <v>198</v>
      </c>
      <c r="D290" s="128" t="s">
        <v>143</v>
      </c>
      <c r="E290" s="128" t="s">
        <v>145</v>
      </c>
      <c r="F290" s="29">
        <v>20685</v>
      </c>
      <c r="G290" s="56" t="str">
        <f t="shared" ca="1" si="42"/>
        <v>V 60</v>
      </c>
      <c r="H290" s="28">
        <f t="shared" ca="1" si="43"/>
        <v>64</v>
      </c>
      <c r="J290" s="38" t="str">
        <f t="shared" si="37"/>
        <v>José Carvalho</v>
      </c>
      <c r="K290" s="39">
        <f t="shared" si="38"/>
        <v>1336</v>
      </c>
      <c r="L290" s="39">
        <f t="shared" si="39"/>
        <v>125485</v>
      </c>
      <c r="M290" s="40">
        <f t="shared" si="44"/>
        <v>20685</v>
      </c>
      <c r="N290" s="41" t="str">
        <f t="shared" ca="1" si="45"/>
        <v>V 60</v>
      </c>
      <c r="O290" s="41" t="str">
        <f t="shared" si="40"/>
        <v>M</v>
      </c>
      <c r="P290" s="60" t="str">
        <f t="shared" si="41"/>
        <v>CAFH</v>
      </c>
      <c r="Q290" s="61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3">
      <c r="A291" s="28">
        <v>1345</v>
      </c>
      <c r="B291" s="28">
        <v>127939</v>
      </c>
      <c r="C291" s="129" t="s">
        <v>305</v>
      </c>
      <c r="D291" s="128" t="s">
        <v>143</v>
      </c>
      <c r="E291" s="128" t="s">
        <v>145</v>
      </c>
      <c r="F291" s="29">
        <v>27974</v>
      </c>
      <c r="G291" s="56" t="str">
        <f t="shared" ca="1" si="42"/>
        <v>V 40</v>
      </c>
      <c r="H291" s="28">
        <f t="shared" ca="1" si="43"/>
        <v>44</v>
      </c>
      <c r="J291" s="38" t="str">
        <f t="shared" si="37"/>
        <v>João Vieira</v>
      </c>
      <c r="K291" s="39">
        <f t="shared" si="38"/>
        <v>1345</v>
      </c>
      <c r="L291" s="39">
        <f t="shared" si="39"/>
        <v>127939</v>
      </c>
      <c r="M291" s="40">
        <f t="shared" si="44"/>
        <v>27974</v>
      </c>
      <c r="N291" s="41" t="str">
        <f t="shared" ca="1" si="45"/>
        <v>V 40</v>
      </c>
      <c r="O291" s="41" t="str">
        <f t="shared" si="40"/>
        <v>M</v>
      </c>
      <c r="P291" s="60" t="str">
        <f t="shared" si="41"/>
        <v>CAFH</v>
      </c>
      <c r="Q291" s="6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3">
      <c r="A292" s="28">
        <v>1338</v>
      </c>
      <c r="B292" s="28">
        <v>150265</v>
      </c>
      <c r="C292" s="129" t="s">
        <v>1380</v>
      </c>
      <c r="D292" s="128" t="s">
        <v>143</v>
      </c>
      <c r="E292" s="128" t="s">
        <v>145</v>
      </c>
      <c r="F292" s="29">
        <v>25747</v>
      </c>
      <c r="G292" s="56" t="str">
        <f t="shared" ca="1" si="42"/>
        <v>V 50</v>
      </c>
      <c r="H292" s="28">
        <f t="shared" ca="1" si="43"/>
        <v>50</v>
      </c>
      <c r="J292" s="38" t="str">
        <f t="shared" si="37"/>
        <v>Clementino Santos</v>
      </c>
      <c r="K292" s="39">
        <f t="shared" si="38"/>
        <v>1338</v>
      </c>
      <c r="L292" s="39">
        <f t="shared" si="39"/>
        <v>150265</v>
      </c>
      <c r="M292" s="40">
        <f t="shared" si="44"/>
        <v>25747</v>
      </c>
      <c r="N292" s="41" t="str">
        <f t="shared" ca="1" si="45"/>
        <v>V 50</v>
      </c>
      <c r="O292" s="41" t="str">
        <f t="shared" si="40"/>
        <v>M</v>
      </c>
      <c r="P292" s="60" t="str">
        <f t="shared" si="41"/>
        <v>CAFH</v>
      </c>
      <c r="Q292" s="61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3">
      <c r="A293" s="28">
        <v>1725</v>
      </c>
      <c r="B293" s="28">
        <v>158374</v>
      </c>
      <c r="C293" s="129" t="s">
        <v>1103</v>
      </c>
      <c r="D293" s="128" t="s">
        <v>143</v>
      </c>
      <c r="E293" s="128" t="s">
        <v>145</v>
      </c>
      <c r="F293" s="29">
        <v>38221</v>
      </c>
      <c r="G293" s="56" t="str">
        <f t="shared" ca="1" si="42"/>
        <v>Juvenil</v>
      </c>
      <c r="H293" s="28">
        <f t="shared" ca="1" si="43"/>
        <v>16</v>
      </c>
      <c r="J293" s="38" t="str">
        <f t="shared" si="37"/>
        <v>Nuno B. Margarido</v>
      </c>
      <c r="K293" s="39">
        <f t="shared" si="38"/>
        <v>1725</v>
      </c>
      <c r="L293" s="39">
        <f t="shared" si="39"/>
        <v>158374</v>
      </c>
      <c r="M293" s="40">
        <f t="shared" si="44"/>
        <v>38221</v>
      </c>
      <c r="N293" s="41" t="str">
        <f t="shared" ca="1" si="45"/>
        <v>Juvenil</v>
      </c>
      <c r="O293" s="41" t="str">
        <f t="shared" si="40"/>
        <v>M</v>
      </c>
      <c r="P293" s="60" t="str">
        <f t="shared" si="41"/>
        <v>CAFH</v>
      </c>
      <c r="Q293" s="61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3">
      <c r="A294" s="28">
        <v>2066</v>
      </c>
      <c r="B294" s="28">
        <v>158360</v>
      </c>
      <c r="C294" s="129" t="s">
        <v>1098</v>
      </c>
      <c r="D294" s="128" t="s">
        <v>143</v>
      </c>
      <c r="E294" s="128" t="s">
        <v>146</v>
      </c>
      <c r="F294" s="29">
        <v>40687</v>
      </c>
      <c r="G294" s="56" t="str">
        <f t="shared" ca="1" si="42"/>
        <v>Benjamim B</v>
      </c>
      <c r="H294" s="28">
        <f t="shared" ca="1" si="43"/>
        <v>9</v>
      </c>
      <c r="J294" s="38" t="str">
        <f t="shared" si="37"/>
        <v>Maria Margarido</v>
      </c>
      <c r="K294" s="39">
        <f t="shared" si="38"/>
        <v>2066</v>
      </c>
      <c r="L294" s="39">
        <f t="shared" si="39"/>
        <v>158360</v>
      </c>
      <c r="M294" s="40">
        <f t="shared" si="44"/>
        <v>40687</v>
      </c>
      <c r="N294" s="41" t="str">
        <f t="shared" ca="1" si="45"/>
        <v>Benjamim B</v>
      </c>
      <c r="O294" s="41" t="str">
        <f t="shared" si="40"/>
        <v>F</v>
      </c>
      <c r="P294" s="60" t="str">
        <f t="shared" si="41"/>
        <v>CAFH</v>
      </c>
      <c r="Q294" s="61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3">
      <c r="A295" s="28">
        <v>83</v>
      </c>
      <c r="B295" s="28">
        <v>156943</v>
      </c>
      <c r="C295" s="129" t="s">
        <v>1072</v>
      </c>
      <c r="D295" s="128" t="s">
        <v>143</v>
      </c>
      <c r="E295" s="128" t="s">
        <v>146</v>
      </c>
      <c r="F295" s="29">
        <v>29915</v>
      </c>
      <c r="G295" s="56" t="str">
        <f t="shared" ca="1" si="42"/>
        <v>V 35</v>
      </c>
      <c r="H295" s="28">
        <f t="shared" ca="1" si="43"/>
        <v>39</v>
      </c>
      <c r="J295" s="38" t="str">
        <f t="shared" si="37"/>
        <v>Sofia Calafatinho</v>
      </c>
      <c r="K295" s="39">
        <f t="shared" si="38"/>
        <v>83</v>
      </c>
      <c r="L295" s="39">
        <f t="shared" si="39"/>
        <v>156943</v>
      </c>
      <c r="M295" s="40">
        <f t="shared" si="44"/>
        <v>29915</v>
      </c>
      <c r="N295" s="41" t="str">
        <f t="shared" ca="1" si="45"/>
        <v>V 35</v>
      </c>
      <c r="O295" s="41" t="str">
        <f t="shared" si="40"/>
        <v>F</v>
      </c>
      <c r="P295" s="60" t="str">
        <f t="shared" si="41"/>
        <v>CAFH</v>
      </c>
      <c r="Q295" s="61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3">
      <c r="A296" s="28">
        <v>88</v>
      </c>
      <c r="B296" s="28">
        <v>156942</v>
      </c>
      <c r="C296" s="129" t="s">
        <v>1070</v>
      </c>
      <c r="D296" s="128" t="s">
        <v>143</v>
      </c>
      <c r="E296" s="128" t="s">
        <v>146</v>
      </c>
      <c r="F296" s="29">
        <v>24998</v>
      </c>
      <c r="G296" s="56" t="str">
        <f t="shared" ca="1" si="42"/>
        <v>V 50</v>
      </c>
      <c r="H296" s="28">
        <f t="shared" ca="1" si="43"/>
        <v>52</v>
      </c>
      <c r="J296" s="38" t="str">
        <f t="shared" si="37"/>
        <v>Orlanda Pereira</v>
      </c>
      <c r="K296" s="39">
        <f t="shared" si="38"/>
        <v>88</v>
      </c>
      <c r="L296" s="39">
        <f t="shared" si="39"/>
        <v>156942</v>
      </c>
      <c r="M296" s="40">
        <f t="shared" si="44"/>
        <v>24998</v>
      </c>
      <c r="N296" s="41" t="str">
        <f t="shared" ca="1" si="45"/>
        <v>V 50</v>
      </c>
      <c r="O296" s="41" t="str">
        <f t="shared" si="40"/>
        <v>F</v>
      </c>
      <c r="P296" s="60" t="str">
        <f t="shared" si="41"/>
        <v>CAFH</v>
      </c>
      <c r="Q296" s="61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3">
      <c r="A297" s="28">
        <v>1354</v>
      </c>
      <c r="B297" s="28">
        <v>129830</v>
      </c>
      <c r="C297" s="129" t="s">
        <v>210</v>
      </c>
      <c r="D297" s="128" t="s">
        <v>143</v>
      </c>
      <c r="E297" s="128" t="s">
        <v>145</v>
      </c>
      <c r="F297" s="29">
        <v>29822</v>
      </c>
      <c r="G297" s="56" t="str">
        <f t="shared" ca="1" si="42"/>
        <v>V 35</v>
      </c>
      <c r="H297" s="28">
        <f t="shared" ca="1" si="43"/>
        <v>39</v>
      </c>
      <c r="J297" s="38" t="str">
        <f t="shared" si="37"/>
        <v>Miguel Gonçalves</v>
      </c>
      <c r="K297" s="39">
        <f t="shared" si="38"/>
        <v>1354</v>
      </c>
      <c r="L297" s="39">
        <f t="shared" si="39"/>
        <v>129830</v>
      </c>
      <c r="M297" s="40">
        <f t="shared" si="44"/>
        <v>29822</v>
      </c>
      <c r="N297" s="41" t="str">
        <f t="shared" ca="1" si="45"/>
        <v>V 35</v>
      </c>
      <c r="O297" s="41" t="str">
        <f t="shared" si="40"/>
        <v>M</v>
      </c>
      <c r="P297" s="60" t="str">
        <f t="shared" si="41"/>
        <v>CAFH</v>
      </c>
      <c r="Q297" s="61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3">
      <c r="A298" s="28">
        <v>1344</v>
      </c>
      <c r="B298" s="28">
        <v>133290</v>
      </c>
      <c r="C298" s="129" t="s">
        <v>1480</v>
      </c>
      <c r="D298" s="128" t="s">
        <v>143</v>
      </c>
      <c r="E298" s="128" t="s">
        <v>145</v>
      </c>
      <c r="F298" s="29">
        <v>28538</v>
      </c>
      <c r="G298" s="56" t="str">
        <f t="shared" ca="1" si="42"/>
        <v>V 40</v>
      </c>
      <c r="H298" s="28">
        <f t="shared" ca="1" si="43"/>
        <v>43</v>
      </c>
      <c r="J298" s="38" t="str">
        <f t="shared" si="37"/>
        <v>Gonçalo Pacheco</v>
      </c>
      <c r="K298" s="39">
        <f t="shared" si="38"/>
        <v>1344</v>
      </c>
      <c r="L298" s="39">
        <f t="shared" si="39"/>
        <v>133290</v>
      </c>
      <c r="M298" s="40">
        <f t="shared" si="44"/>
        <v>28538</v>
      </c>
      <c r="N298" s="41" t="str">
        <f t="shared" ca="1" si="45"/>
        <v>V 40</v>
      </c>
      <c r="O298" s="41" t="str">
        <f t="shared" si="40"/>
        <v>M</v>
      </c>
      <c r="P298" s="60" t="str">
        <f t="shared" si="41"/>
        <v>CAFH</v>
      </c>
      <c r="Q298" s="61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3">
      <c r="A299" s="28">
        <v>87</v>
      </c>
      <c r="B299" s="28">
        <v>157729</v>
      </c>
      <c r="C299" s="129" t="s">
        <v>1479</v>
      </c>
      <c r="D299" s="128" t="s">
        <v>143</v>
      </c>
      <c r="E299" s="128" t="s">
        <v>146</v>
      </c>
      <c r="F299" s="29">
        <v>27246</v>
      </c>
      <c r="G299" s="56" t="str">
        <f t="shared" ca="1" si="42"/>
        <v>V 45</v>
      </c>
      <c r="H299" s="28">
        <f t="shared" ca="1" si="43"/>
        <v>46</v>
      </c>
      <c r="J299" s="38" t="str">
        <f t="shared" si="37"/>
        <v>Rubina Gouveia</v>
      </c>
      <c r="K299" s="39">
        <f t="shared" si="38"/>
        <v>87</v>
      </c>
      <c r="L299" s="39">
        <f t="shared" si="39"/>
        <v>157729</v>
      </c>
      <c r="M299" s="40">
        <f t="shared" si="44"/>
        <v>27246</v>
      </c>
      <c r="N299" s="41" t="str">
        <f t="shared" ca="1" si="45"/>
        <v>V 45</v>
      </c>
      <c r="O299" s="41" t="str">
        <f t="shared" si="40"/>
        <v>F</v>
      </c>
      <c r="P299" s="60" t="str">
        <f t="shared" si="41"/>
        <v>CAFH</v>
      </c>
      <c r="Q299" s="61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3">
      <c r="A300" s="28">
        <v>1353</v>
      </c>
      <c r="B300" s="28">
        <v>162966</v>
      </c>
      <c r="C300" s="129" t="s">
        <v>1481</v>
      </c>
      <c r="D300" s="128" t="s">
        <v>143</v>
      </c>
      <c r="E300" s="128" t="s">
        <v>145</v>
      </c>
      <c r="F300" s="29">
        <v>29598</v>
      </c>
      <c r="G300" s="56" t="str">
        <f t="shared" ca="1" si="42"/>
        <v>V 40</v>
      </c>
      <c r="H300" s="28">
        <f t="shared" ca="1" si="43"/>
        <v>40</v>
      </c>
      <c r="J300" s="38" t="str">
        <f t="shared" si="37"/>
        <v>Hugo Martins</v>
      </c>
      <c r="K300" s="39">
        <f t="shared" si="38"/>
        <v>1353</v>
      </c>
      <c r="L300" s="39">
        <f t="shared" si="39"/>
        <v>162966</v>
      </c>
      <c r="M300" s="40">
        <f t="shared" si="44"/>
        <v>29598</v>
      </c>
      <c r="N300" s="41" t="str">
        <f t="shared" ca="1" si="45"/>
        <v>V 40</v>
      </c>
      <c r="O300" s="41" t="str">
        <f t="shared" si="40"/>
        <v>M</v>
      </c>
      <c r="P300" s="60" t="str">
        <f t="shared" si="41"/>
        <v>CAFH</v>
      </c>
      <c r="Q300" s="61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3">
      <c r="A301" s="28">
        <v>1358</v>
      </c>
      <c r="B301" s="28">
        <v>162961</v>
      </c>
      <c r="C301" s="129" t="s">
        <v>1482</v>
      </c>
      <c r="D301" s="128" t="s">
        <v>143</v>
      </c>
      <c r="E301" s="128" t="s">
        <v>145</v>
      </c>
      <c r="F301" s="29">
        <v>31727</v>
      </c>
      <c r="G301" s="56" t="str">
        <f t="shared" ca="1" si="42"/>
        <v>Sénior</v>
      </c>
      <c r="H301" s="28">
        <f t="shared" ca="1" si="43"/>
        <v>34</v>
      </c>
      <c r="J301" s="38" t="str">
        <f t="shared" si="37"/>
        <v>Ludgero Freitas</v>
      </c>
      <c r="K301" s="39">
        <f t="shared" si="38"/>
        <v>1358</v>
      </c>
      <c r="L301" s="39">
        <f t="shared" si="39"/>
        <v>162961</v>
      </c>
      <c r="M301" s="40">
        <f t="shared" si="44"/>
        <v>31727</v>
      </c>
      <c r="N301" s="41" t="str">
        <f t="shared" ca="1" si="45"/>
        <v>Sénior</v>
      </c>
      <c r="O301" s="41" t="str">
        <f t="shared" si="40"/>
        <v>M</v>
      </c>
      <c r="P301" s="60" t="str">
        <f t="shared" si="41"/>
        <v>CAFH</v>
      </c>
      <c r="Q301" s="6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3">
      <c r="A302" s="28">
        <v>2049</v>
      </c>
      <c r="B302" s="28">
        <v>156481</v>
      </c>
      <c r="C302" s="129" t="s">
        <v>1573</v>
      </c>
      <c r="D302" s="128" t="s">
        <v>123</v>
      </c>
      <c r="E302" s="128" t="s">
        <v>145</v>
      </c>
      <c r="F302" s="29">
        <v>39593</v>
      </c>
      <c r="G302" s="56" t="str">
        <f t="shared" ca="1" si="42"/>
        <v>Infantil</v>
      </c>
      <c r="H302" s="28">
        <f t="shared" ca="1" si="43"/>
        <v>12</v>
      </c>
      <c r="J302" s="38" t="str">
        <f t="shared" si="37"/>
        <v>Nuno M. Abreu</v>
      </c>
      <c r="K302" s="39">
        <f t="shared" si="38"/>
        <v>2049</v>
      </c>
      <c r="L302" s="39">
        <f t="shared" si="39"/>
        <v>156481</v>
      </c>
      <c r="M302" s="40">
        <f t="shared" si="44"/>
        <v>39593</v>
      </c>
      <c r="N302" s="41" t="str">
        <f t="shared" ca="1" si="45"/>
        <v>Infantil</v>
      </c>
      <c r="O302" s="41" t="str">
        <f t="shared" si="40"/>
        <v>M</v>
      </c>
      <c r="P302" s="60" t="str">
        <f t="shared" si="41"/>
        <v>AJS</v>
      </c>
      <c r="Q302" s="61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3">
      <c r="A303" s="28">
        <v>1758</v>
      </c>
      <c r="B303" s="28">
        <v>142734</v>
      </c>
      <c r="C303" s="129" t="s">
        <v>542</v>
      </c>
      <c r="D303" s="128" t="s">
        <v>123</v>
      </c>
      <c r="E303" s="128" t="s">
        <v>146</v>
      </c>
      <c r="F303" s="29">
        <v>39235</v>
      </c>
      <c r="G303" s="56" t="str">
        <f t="shared" ca="1" si="42"/>
        <v>Iniciado</v>
      </c>
      <c r="H303" s="28">
        <f t="shared" ca="1" si="43"/>
        <v>13</v>
      </c>
      <c r="J303" s="38" t="str">
        <f t="shared" si="37"/>
        <v>Beatriz Melim</v>
      </c>
      <c r="K303" s="39">
        <f t="shared" si="38"/>
        <v>1758</v>
      </c>
      <c r="L303" s="39">
        <f t="shared" si="39"/>
        <v>142734</v>
      </c>
      <c r="M303" s="40">
        <f t="shared" si="44"/>
        <v>39235</v>
      </c>
      <c r="N303" s="41" t="str">
        <f t="shared" ca="1" si="45"/>
        <v>Iniciado</v>
      </c>
      <c r="O303" s="41" t="str">
        <f t="shared" si="40"/>
        <v>F</v>
      </c>
      <c r="P303" s="60" t="str">
        <f t="shared" si="41"/>
        <v>AJS</v>
      </c>
      <c r="Q303" s="61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3">
      <c r="A304" s="28">
        <v>1759</v>
      </c>
      <c r="B304" s="28">
        <v>147711</v>
      </c>
      <c r="C304" s="129" t="s">
        <v>1012</v>
      </c>
      <c r="D304" s="128" t="s">
        <v>123</v>
      </c>
      <c r="E304" s="128" t="s">
        <v>146</v>
      </c>
      <c r="F304" s="29">
        <v>39395</v>
      </c>
      <c r="G304" s="56" t="str">
        <f t="shared" ca="1" si="42"/>
        <v>Iniciado</v>
      </c>
      <c r="H304" s="28">
        <f t="shared" ca="1" si="43"/>
        <v>13</v>
      </c>
      <c r="J304" s="38" t="str">
        <f t="shared" si="37"/>
        <v>Sílvia Jesus</v>
      </c>
      <c r="K304" s="39">
        <f t="shared" si="38"/>
        <v>1759</v>
      </c>
      <c r="L304" s="39">
        <f t="shared" si="39"/>
        <v>147711</v>
      </c>
      <c r="M304" s="40">
        <f t="shared" si="44"/>
        <v>39395</v>
      </c>
      <c r="N304" s="41" t="str">
        <f t="shared" ca="1" si="45"/>
        <v>Iniciado</v>
      </c>
      <c r="O304" s="41" t="str">
        <f t="shared" si="40"/>
        <v>F</v>
      </c>
      <c r="P304" s="60" t="str">
        <f t="shared" si="41"/>
        <v>AJS</v>
      </c>
      <c r="Q304" s="61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3">
      <c r="A305" s="28">
        <v>57</v>
      </c>
      <c r="B305" s="28">
        <v>134117</v>
      </c>
      <c r="C305" s="129" t="s">
        <v>1559</v>
      </c>
      <c r="D305" s="128" t="s">
        <v>123</v>
      </c>
      <c r="E305" s="128" t="s">
        <v>146</v>
      </c>
      <c r="F305" s="29">
        <v>28955</v>
      </c>
      <c r="G305" s="56" t="str">
        <f t="shared" ca="1" si="42"/>
        <v>V 40</v>
      </c>
      <c r="H305" s="28">
        <f t="shared" ca="1" si="43"/>
        <v>42</v>
      </c>
      <c r="J305" s="38" t="str">
        <f t="shared" si="37"/>
        <v>Januária Pereira</v>
      </c>
      <c r="K305" s="39">
        <f t="shared" si="38"/>
        <v>57</v>
      </c>
      <c r="L305" s="39">
        <f t="shared" si="39"/>
        <v>134117</v>
      </c>
      <c r="M305" s="40">
        <f t="shared" si="44"/>
        <v>28955</v>
      </c>
      <c r="N305" s="41" t="str">
        <f t="shared" ca="1" si="45"/>
        <v>V 40</v>
      </c>
      <c r="O305" s="41" t="str">
        <f t="shared" si="40"/>
        <v>F</v>
      </c>
      <c r="P305" s="60" t="str">
        <f t="shared" si="41"/>
        <v>AJS</v>
      </c>
      <c r="Q305" s="61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3">
      <c r="A306" s="28">
        <v>45</v>
      </c>
      <c r="B306" s="28">
        <v>124070</v>
      </c>
      <c r="C306" s="129" t="s">
        <v>1209</v>
      </c>
      <c r="D306" s="128" t="s">
        <v>123</v>
      </c>
      <c r="E306" s="128" t="s">
        <v>146</v>
      </c>
      <c r="F306" s="29">
        <v>36618</v>
      </c>
      <c r="G306" s="56" t="str">
        <f t="shared" ca="1" si="42"/>
        <v>sub 23</v>
      </c>
      <c r="H306" s="28">
        <f t="shared" ca="1" si="43"/>
        <v>21</v>
      </c>
      <c r="J306" s="38" t="str">
        <f t="shared" si="37"/>
        <v>Margarida E. Silva</v>
      </c>
      <c r="K306" s="39">
        <f t="shared" si="38"/>
        <v>45</v>
      </c>
      <c r="L306" s="39">
        <f t="shared" si="39"/>
        <v>124070</v>
      </c>
      <c r="M306" s="40">
        <f t="shared" si="44"/>
        <v>36618</v>
      </c>
      <c r="N306" s="41" t="str">
        <f t="shared" ca="1" si="45"/>
        <v>sub 23</v>
      </c>
      <c r="O306" s="41" t="str">
        <f t="shared" si="40"/>
        <v>F</v>
      </c>
      <c r="P306" s="60" t="str">
        <f t="shared" si="41"/>
        <v>AJS</v>
      </c>
      <c r="Q306" s="61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3">
      <c r="A307" s="28">
        <v>46</v>
      </c>
      <c r="B307" s="28">
        <v>129420</v>
      </c>
      <c r="C307" s="129" t="s">
        <v>1048</v>
      </c>
      <c r="D307" s="128" t="s">
        <v>123</v>
      </c>
      <c r="E307" s="128" t="s">
        <v>146</v>
      </c>
      <c r="F307" s="29">
        <v>36312</v>
      </c>
      <c r="G307" s="56" t="str">
        <f t="shared" ca="1" si="42"/>
        <v>sub 23</v>
      </c>
      <c r="H307" s="28">
        <f t="shared" ca="1" si="43"/>
        <v>21</v>
      </c>
      <c r="J307" s="38" t="str">
        <f t="shared" si="37"/>
        <v>Milene Jesus</v>
      </c>
      <c r="K307" s="39">
        <f t="shared" si="38"/>
        <v>46</v>
      </c>
      <c r="L307" s="39">
        <f t="shared" si="39"/>
        <v>129420</v>
      </c>
      <c r="M307" s="40">
        <f t="shared" si="44"/>
        <v>36312</v>
      </c>
      <c r="N307" s="41" t="str">
        <f t="shared" ca="1" si="45"/>
        <v>sub 23</v>
      </c>
      <c r="O307" s="41" t="str">
        <f t="shared" si="40"/>
        <v>F</v>
      </c>
      <c r="P307" s="60" t="str">
        <f t="shared" si="41"/>
        <v>AJS</v>
      </c>
      <c r="Q307" s="61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3">
      <c r="A308" s="28">
        <v>47</v>
      </c>
      <c r="B308" s="28">
        <v>131578</v>
      </c>
      <c r="C308" s="129" t="s">
        <v>1005</v>
      </c>
      <c r="D308" s="128" t="s">
        <v>123</v>
      </c>
      <c r="E308" s="128" t="s">
        <v>146</v>
      </c>
      <c r="F308" s="29">
        <v>36216</v>
      </c>
      <c r="G308" s="56" t="str">
        <f t="shared" ca="1" si="42"/>
        <v>sub 23</v>
      </c>
      <c r="H308" s="28">
        <f t="shared" ca="1" si="43"/>
        <v>22</v>
      </c>
      <c r="J308" s="38" t="str">
        <f t="shared" si="37"/>
        <v>Bárbara Silva</v>
      </c>
      <c r="K308" s="39">
        <f t="shared" si="38"/>
        <v>47</v>
      </c>
      <c r="L308" s="39">
        <f t="shared" si="39"/>
        <v>131578</v>
      </c>
      <c r="M308" s="40">
        <f t="shared" si="44"/>
        <v>36216</v>
      </c>
      <c r="N308" s="41" t="str">
        <f t="shared" ca="1" si="45"/>
        <v>sub 23</v>
      </c>
      <c r="O308" s="41" t="str">
        <f t="shared" si="40"/>
        <v>F</v>
      </c>
      <c r="P308" s="60" t="str">
        <f t="shared" si="41"/>
        <v>AJS</v>
      </c>
      <c r="Q308" s="61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3">
      <c r="A309" s="28">
        <v>1556</v>
      </c>
      <c r="B309" s="28">
        <v>129765</v>
      </c>
      <c r="C309" s="129" t="s">
        <v>1208</v>
      </c>
      <c r="D309" s="128" t="s">
        <v>123</v>
      </c>
      <c r="E309" s="128" t="s">
        <v>146</v>
      </c>
      <c r="F309" s="29">
        <v>37374</v>
      </c>
      <c r="G309" s="56" t="str">
        <f t="shared" ca="1" si="42"/>
        <v>Júnior</v>
      </c>
      <c r="H309" s="28">
        <f t="shared" ca="1" si="43"/>
        <v>18</v>
      </c>
      <c r="J309" s="38" t="str">
        <f t="shared" si="37"/>
        <v>Inês Borba</v>
      </c>
      <c r="K309" s="39">
        <f t="shared" si="38"/>
        <v>1556</v>
      </c>
      <c r="L309" s="39">
        <f t="shared" si="39"/>
        <v>129765</v>
      </c>
      <c r="M309" s="40">
        <f t="shared" si="44"/>
        <v>37374</v>
      </c>
      <c r="N309" s="41" t="str">
        <f t="shared" ca="1" si="45"/>
        <v>Júnior</v>
      </c>
      <c r="O309" s="41" t="str">
        <f t="shared" si="40"/>
        <v>F</v>
      </c>
      <c r="P309" s="60" t="str">
        <f t="shared" si="41"/>
        <v>AJS</v>
      </c>
      <c r="Q309" s="61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3">
      <c r="A310" s="28">
        <v>1446</v>
      </c>
      <c r="B310" s="28">
        <v>149492</v>
      </c>
      <c r="C310" s="129" t="s">
        <v>783</v>
      </c>
      <c r="D310" s="128" t="s">
        <v>123</v>
      </c>
      <c r="E310" s="128" t="s">
        <v>145</v>
      </c>
      <c r="F310" s="29">
        <v>33128</v>
      </c>
      <c r="G310" s="56" t="str">
        <f t="shared" ca="1" si="42"/>
        <v>Sénior</v>
      </c>
      <c r="H310" s="28">
        <f t="shared" ca="1" si="43"/>
        <v>30</v>
      </c>
      <c r="J310" s="38" t="str">
        <f t="shared" si="37"/>
        <v>João P. Rodrigues</v>
      </c>
      <c r="K310" s="39">
        <f t="shared" si="38"/>
        <v>1446</v>
      </c>
      <c r="L310" s="39">
        <f t="shared" si="39"/>
        <v>149492</v>
      </c>
      <c r="M310" s="40">
        <f t="shared" si="44"/>
        <v>33128</v>
      </c>
      <c r="N310" s="41" t="str">
        <f t="shared" ca="1" si="45"/>
        <v>Sénior</v>
      </c>
      <c r="O310" s="41" t="str">
        <f t="shared" si="40"/>
        <v>M</v>
      </c>
      <c r="P310" s="60" t="str">
        <f t="shared" si="41"/>
        <v>AJS</v>
      </c>
      <c r="Q310" s="61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3">
      <c r="A311" s="28">
        <v>40</v>
      </c>
      <c r="B311" s="28">
        <v>149493</v>
      </c>
      <c r="C311" s="129" t="s">
        <v>1336</v>
      </c>
      <c r="D311" s="128" t="s">
        <v>123</v>
      </c>
      <c r="E311" s="128" t="s">
        <v>146</v>
      </c>
      <c r="F311" s="29">
        <v>33004</v>
      </c>
      <c r="G311" s="56" t="str">
        <f t="shared" ca="1" si="42"/>
        <v>Sénior</v>
      </c>
      <c r="H311" s="28">
        <f t="shared" ca="1" si="43"/>
        <v>30</v>
      </c>
      <c r="J311" s="38" t="str">
        <f t="shared" si="37"/>
        <v>Simone Silva</v>
      </c>
      <c r="K311" s="39">
        <f t="shared" si="38"/>
        <v>40</v>
      </c>
      <c r="L311" s="39">
        <f t="shared" si="39"/>
        <v>149493</v>
      </c>
      <c r="M311" s="40">
        <f t="shared" si="44"/>
        <v>33004</v>
      </c>
      <c r="N311" s="41" t="str">
        <f t="shared" ca="1" si="45"/>
        <v>Sénior</v>
      </c>
      <c r="O311" s="41" t="str">
        <f t="shared" si="40"/>
        <v>F</v>
      </c>
      <c r="P311" s="60" t="str">
        <f t="shared" si="41"/>
        <v>AJS</v>
      </c>
      <c r="Q311" s="6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3">
      <c r="A312" s="28">
        <v>1445</v>
      </c>
      <c r="B312" s="28">
        <v>124522</v>
      </c>
      <c r="C312" s="129" t="s">
        <v>119</v>
      </c>
      <c r="D312" s="128" t="s">
        <v>123</v>
      </c>
      <c r="E312" s="128" t="s">
        <v>145</v>
      </c>
      <c r="F312" s="29">
        <v>33591</v>
      </c>
      <c r="G312" s="56" t="str">
        <f t="shared" ca="1" si="42"/>
        <v>Sénior</v>
      </c>
      <c r="H312" s="28">
        <f t="shared" ca="1" si="43"/>
        <v>29</v>
      </c>
      <c r="J312" s="38" t="str">
        <f t="shared" si="37"/>
        <v>Roberto Faria</v>
      </c>
      <c r="K312" s="39">
        <f t="shared" si="38"/>
        <v>1445</v>
      </c>
      <c r="L312" s="39">
        <f t="shared" si="39"/>
        <v>124522</v>
      </c>
      <c r="M312" s="40">
        <f t="shared" si="44"/>
        <v>33591</v>
      </c>
      <c r="N312" s="41" t="str">
        <f t="shared" ca="1" si="45"/>
        <v>Sénior</v>
      </c>
      <c r="O312" s="41" t="str">
        <f t="shared" si="40"/>
        <v>M</v>
      </c>
      <c r="P312" s="60" t="str">
        <f t="shared" si="41"/>
        <v>AJS</v>
      </c>
      <c r="Q312" s="61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3">
      <c r="A313" s="28">
        <v>2060</v>
      </c>
      <c r="B313" s="28">
        <v>148052</v>
      </c>
      <c r="C313" s="129" t="s">
        <v>731</v>
      </c>
      <c r="D313" s="128" t="s">
        <v>123</v>
      </c>
      <c r="E313" s="128" t="s">
        <v>146</v>
      </c>
      <c r="F313" s="29">
        <v>40664</v>
      </c>
      <c r="G313" s="56" t="str">
        <f t="shared" ca="1" si="42"/>
        <v>Benjamim B</v>
      </c>
      <c r="H313" s="28">
        <f t="shared" ca="1" si="43"/>
        <v>9</v>
      </c>
      <c r="J313" s="38" t="str">
        <f t="shared" si="37"/>
        <v>Glória Fernandes</v>
      </c>
      <c r="K313" s="39">
        <f t="shared" si="38"/>
        <v>2060</v>
      </c>
      <c r="L313" s="39">
        <f t="shared" si="39"/>
        <v>148052</v>
      </c>
      <c r="M313" s="40">
        <f t="shared" si="44"/>
        <v>40664</v>
      </c>
      <c r="N313" s="41" t="str">
        <f t="shared" ca="1" si="45"/>
        <v>Benjamim B</v>
      </c>
      <c r="O313" s="41" t="str">
        <f t="shared" si="40"/>
        <v>F</v>
      </c>
      <c r="P313" s="60" t="str">
        <f t="shared" si="41"/>
        <v>AJS</v>
      </c>
      <c r="Q313" s="61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3">
      <c r="A314" s="28">
        <v>1760</v>
      </c>
      <c r="B314" s="28">
        <v>126022</v>
      </c>
      <c r="C314" s="129" t="s">
        <v>129</v>
      </c>
      <c r="D314" s="128" t="s">
        <v>123</v>
      </c>
      <c r="E314" s="128" t="s">
        <v>146</v>
      </c>
      <c r="F314" s="29">
        <v>39141</v>
      </c>
      <c r="G314" s="56" t="str">
        <f t="shared" ca="1" si="42"/>
        <v>Iniciado</v>
      </c>
      <c r="H314" s="28">
        <f t="shared" ca="1" si="43"/>
        <v>14</v>
      </c>
      <c r="J314" s="38" t="str">
        <f t="shared" si="37"/>
        <v>Sara Fernandes</v>
      </c>
      <c r="K314" s="39">
        <f t="shared" si="38"/>
        <v>1760</v>
      </c>
      <c r="L314" s="39">
        <f t="shared" si="39"/>
        <v>126022</v>
      </c>
      <c r="M314" s="40">
        <f t="shared" si="44"/>
        <v>39141</v>
      </c>
      <c r="N314" s="41" t="str">
        <f t="shared" ca="1" si="45"/>
        <v>Iniciado</v>
      </c>
      <c r="O314" s="41" t="str">
        <f t="shared" si="40"/>
        <v>F</v>
      </c>
      <c r="P314" s="60" t="str">
        <f t="shared" si="41"/>
        <v>AJS</v>
      </c>
      <c r="Q314" s="61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3">
      <c r="A315" s="28">
        <v>1761</v>
      </c>
      <c r="B315" s="28">
        <v>126024</v>
      </c>
      <c r="C315" s="129" t="s">
        <v>128</v>
      </c>
      <c r="D315" s="128" t="s">
        <v>123</v>
      </c>
      <c r="E315" s="128" t="s">
        <v>146</v>
      </c>
      <c r="F315" s="29">
        <v>39440</v>
      </c>
      <c r="G315" s="56" t="str">
        <f t="shared" ca="1" si="42"/>
        <v>Iniciado</v>
      </c>
      <c r="H315" s="28">
        <f t="shared" ca="1" si="43"/>
        <v>13</v>
      </c>
      <c r="J315" s="38" t="str">
        <f t="shared" si="37"/>
        <v>Luna Andrade</v>
      </c>
      <c r="K315" s="39">
        <f t="shared" si="38"/>
        <v>1761</v>
      </c>
      <c r="L315" s="39">
        <f t="shared" si="39"/>
        <v>126024</v>
      </c>
      <c r="M315" s="40">
        <f t="shared" si="44"/>
        <v>39440</v>
      </c>
      <c r="N315" s="41" t="str">
        <f t="shared" ca="1" si="45"/>
        <v>Iniciado</v>
      </c>
      <c r="O315" s="41" t="str">
        <f t="shared" si="40"/>
        <v>F</v>
      </c>
      <c r="P315" s="60" t="str">
        <f t="shared" si="41"/>
        <v>AJS</v>
      </c>
      <c r="Q315" s="61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3">
      <c r="A316" s="28">
        <v>41</v>
      </c>
      <c r="B316" s="28">
        <v>147024</v>
      </c>
      <c r="C316" s="129" t="s">
        <v>1210</v>
      </c>
      <c r="D316" s="128" t="s">
        <v>123</v>
      </c>
      <c r="E316" s="128" t="s">
        <v>146</v>
      </c>
      <c r="F316" s="29">
        <v>31635</v>
      </c>
      <c r="G316" s="56" t="str">
        <f t="shared" ca="1" si="42"/>
        <v>Sénior</v>
      </c>
      <c r="H316" s="28">
        <f t="shared" ca="1" si="43"/>
        <v>34</v>
      </c>
      <c r="J316" s="38" t="str">
        <f t="shared" si="37"/>
        <v>Elvina Jesus</v>
      </c>
      <c r="K316" s="39">
        <f t="shared" si="38"/>
        <v>41</v>
      </c>
      <c r="L316" s="39">
        <f t="shared" si="39"/>
        <v>147024</v>
      </c>
      <c r="M316" s="40">
        <f t="shared" si="44"/>
        <v>31635</v>
      </c>
      <c r="N316" s="41" t="str">
        <f t="shared" ca="1" si="45"/>
        <v>Sénior</v>
      </c>
      <c r="O316" s="41" t="str">
        <f t="shared" si="40"/>
        <v>F</v>
      </c>
      <c r="P316" s="60" t="str">
        <f t="shared" si="41"/>
        <v>AJS</v>
      </c>
      <c r="Q316" s="61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3">
      <c r="A317" s="28">
        <v>1444</v>
      </c>
      <c r="B317" s="28">
        <v>128002</v>
      </c>
      <c r="C317" s="129" t="s">
        <v>1008</v>
      </c>
      <c r="D317" s="128" t="s">
        <v>123</v>
      </c>
      <c r="E317" s="128" t="s">
        <v>145</v>
      </c>
      <c r="F317" s="29">
        <v>34278</v>
      </c>
      <c r="G317" s="56" t="str">
        <f t="shared" ca="1" si="42"/>
        <v>Sénior</v>
      </c>
      <c r="H317" s="28">
        <f t="shared" ca="1" si="43"/>
        <v>27</v>
      </c>
      <c r="J317" s="38" t="str">
        <f t="shared" si="37"/>
        <v>Wilson Conniott</v>
      </c>
      <c r="K317" s="39">
        <f t="shared" si="38"/>
        <v>1444</v>
      </c>
      <c r="L317" s="39">
        <f t="shared" si="39"/>
        <v>128002</v>
      </c>
      <c r="M317" s="40">
        <f t="shared" si="44"/>
        <v>34278</v>
      </c>
      <c r="N317" s="41" t="str">
        <f t="shared" ca="1" si="45"/>
        <v>Sénior</v>
      </c>
      <c r="O317" s="41" t="str">
        <f t="shared" si="40"/>
        <v>M</v>
      </c>
      <c r="P317" s="60" t="str">
        <f t="shared" si="41"/>
        <v>AJS</v>
      </c>
      <c r="Q317" s="61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3">
      <c r="A318" s="28">
        <v>1443</v>
      </c>
      <c r="B318" s="28">
        <v>124490</v>
      </c>
      <c r="C318" s="129" t="s">
        <v>1338</v>
      </c>
      <c r="D318" s="128" t="s">
        <v>123</v>
      </c>
      <c r="E318" s="128" t="s">
        <v>145</v>
      </c>
      <c r="F318" s="29">
        <v>33733</v>
      </c>
      <c r="G318" s="56" t="str">
        <f t="shared" ca="1" si="42"/>
        <v>Sénior</v>
      </c>
      <c r="H318" s="28">
        <f t="shared" ca="1" si="43"/>
        <v>28</v>
      </c>
      <c r="J318" s="38" t="str">
        <f t="shared" si="37"/>
        <v>Francisco Cordoeiro</v>
      </c>
      <c r="K318" s="39">
        <f t="shared" si="38"/>
        <v>1443</v>
      </c>
      <c r="L318" s="39">
        <f t="shared" si="39"/>
        <v>124490</v>
      </c>
      <c r="M318" s="40">
        <f t="shared" si="44"/>
        <v>33733</v>
      </c>
      <c r="N318" s="41" t="str">
        <f t="shared" ca="1" si="45"/>
        <v>Sénior</v>
      </c>
      <c r="O318" s="41" t="str">
        <f t="shared" si="40"/>
        <v>M</v>
      </c>
      <c r="P318" s="60" t="str">
        <f t="shared" si="41"/>
        <v>AJS</v>
      </c>
      <c r="Q318" s="61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3">
      <c r="A319" s="28">
        <v>48</v>
      </c>
      <c r="B319" s="28">
        <v>148660</v>
      </c>
      <c r="C319" s="129" t="s">
        <v>1560</v>
      </c>
      <c r="D319" s="128" t="s">
        <v>123</v>
      </c>
      <c r="E319" s="128" t="s">
        <v>146</v>
      </c>
      <c r="F319" s="29">
        <v>36852</v>
      </c>
      <c r="G319" s="56" t="str">
        <f t="shared" ca="1" si="42"/>
        <v>sub 23</v>
      </c>
      <c r="H319" s="28">
        <f t="shared" ca="1" si="43"/>
        <v>20</v>
      </c>
      <c r="J319" s="38" t="str">
        <f t="shared" si="37"/>
        <v>Beatriz Matias</v>
      </c>
      <c r="K319" s="39">
        <f t="shared" si="38"/>
        <v>48</v>
      </c>
      <c r="L319" s="39">
        <f t="shared" si="39"/>
        <v>148660</v>
      </c>
      <c r="M319" s="40">
        <f t="shared" si="44"/>
        <v>36852</v>
      </c>
      <c r="N319" s="41" t="str">
        <f t="shared" ca="1" si="45"/>
        <v>sub 23</v>
      </c>
      <c r="O319" s="41" t="str">
        <f t="shared" si="40"/>
        <v>F</v>
      </c>
      <c r="P319" s="60" t="str">
        <f t="shared" si="41"/>
        <v>AJS</v>
      </c>
      <c r="Q319" s="61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3">
      <c r="A320" s="28">
        <v>1442</v>
      </c>
      <c r="B320" s="28">
        <v>124195</v>
      </c>
      <c r="C320" s="129" t="s">
        <v>1574</v>
      </c>
      <c r="D320" s="128" t="s">
        <v>123</v>
      </c>
      <c r="E320" s="128" t="s">
        <v>145</v>
      </c>
      <c r="F320" s="29">
        <v>33928</v>
      </c>
      <c r="G320" s="56" t="str">
        <f t="shared" ca="1" si="42"/>
        <v>Sénior</v>
      </c>
      <c r="H320" s="28">
        <f t="shared" ca="1" si="43"/>
        <v>28</v>
      </c>
      <c r="J320" s="38" t="str">
        <f t="shared" si="37"/>
        <v>André Marques</v>
      </c>
      <c r="K320" s="39">
        <f t="shared" si="38"/>
        <v>1442</v>
      </c>
      <c r="L320" s="39">
        <f t="shared" si="39"/>
        <v>124195</v>
      </c>
      <c r="M320" s="40">
        <f t="shared" si="44"/>
        <v>33928</v>
      </c>
      <c r="N320" s="41" t="str">
        <f t="shared" ca="1" si="45"/>
        <v>Sénior</v>
      </c>
      <c r="O320" s="41" t="str">
        <f t="shared" si="40"/>
        <v>M</v>
      </c>
      <c r="P320" s="60" t="str">
        <f t="shared" si="41"/>
        <v>AJS</v>
      </c>
      <c r="Q320" s="61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3">
      <c r="A321" s="28">
        <v>200</v>
      </c>
      <c r="B321" s="28">
        <v>126406</v>
      </c>
      <c r="C321" s="129" t="s">
        <v>1417</v>
      </c>
      <c r="D321" s="128" t="s">
        <v>124</v>
      </c>
      <c r="E321" s="128" t="s">
        <v>146</v>
      </c>
      <c r="F321" s="29">
        <v>32881</v>
      </c>
      <c r="G321" s="56" t="str">
        <f t="shared" ca="1" si="42"/>
        <v>Sénior</v>
      </c>
      <c r="H321" s="28">
        <f t="shared" ca="1" si="43"/>
        <v>31</v>
      </c>
      <c r="J321" s="38" t="str">
        <f t="shared" si="37"/>
        <v>Carolina Duarte</v>
      </c>
      <c r="K321" s="39">
        <f t="shared" si="38"/>
        <v>200</v>
      </c>
      <c r="L321" s="39">
        <f t="shared" si="39"/>
        <v>126406</v>
      </c>
      <c r="M321" s="40">
        <f t="shared" si="44"/>
        <v>32881</v>
      </c>
      <c r="N321" s="41" t="str">
        <f t="shared" ca="1" si="45"/>
        <v>Sénior</v>
      </c>
      <c r="O321" s="41" t="str">
        <f t="shared" si="40"/>
        <v>F</v>
      </c>
      <c r="P321" s="60" t="str">
        <f t="shared" si="41"/>
        <v>CSM</v>
      </c>
      <c r="Q321" s="6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3">
      <c r="A322" s="28">
        <v>209</v>
      </c>
      <c r="B322" s="28">
        <v>124807</v>
      </c>
      <c r="C322" s="129" t="s">
        <v>1282</v>
      </c>
      <c r="D322" s="128" t="s">
        <v>124</v>
      </c>
      <c r="E322" s="128" t="s">
        <v>146</v>
      </c>
      <c r="F322" s="29">
        <v>36856</v>
      </c>
      <c r="G322" s="56" t="str">
        <f t="shared" ca="1" si="42"/>
        <v>sub 23</v>
      </c>
      <c r="H322" s="28">
        <f t="shared" ca="1" si="43"/>
        <v>20</v>
      </c>
      <c r="J322" s="38" t="str">
        <f t="shared" ref="J322:J385" si="46">C322</f>
        <v>Ana Beatriz Gomes</v>
      </c>
      <c r="K322" s="39">
        <f t="shared" ref="K322:K385" si="47">A322</f>
        <v>209</v>
      </c>
      <c r="L322" s="39">
        <f t="shared" ref="L322:L385" si="48">B322</f>
        <v>124807</v>
      </c>
      <c r="M322" s="40">
        <f t="shared" si="44"/>
        <v>36856</v>
      </c>
      <c r="N322" s="41" t="str">
        <f t="shared" ca="1" si="45"/>
        <v>sub 23</v>
      </c>
      <c r="O322" s="41" t="str">
        <f t="shared" ref="O322:O385" si="49">E322</f>
        <v>F</v>
      </c>
      <c r="P322" s="60" t="str">
        <f t="shared" ref="P322:P385" si="50">D322</f>
        <v>CSM</v>
      </c>
      <c r="Q322" s="61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3">
      <c r="A323" s="28">
        <v>201</v>
      </c>
      <c r="B323" s="28">
        <v>129619</v>
      </c>
      <c r="C323" s="129" t="s">
        <v>1139</v>
      </c>
      <c r="D323" s="128" t="s">
        <v>124</v>
      </c>
      <c r="E323" s="128" t="s">
        <v>146</v>
      </c>
      <c r="F323" s="29">
        <v>35813</v>
      </c>
      <c r="G323" s="5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B",IF(YEAR(TODAY())-YEAR(F323)&lt;14,"Infantil",IF(YEAR(TODAY())-YEAR(F323)&lt;16,"Iniciado",IF(YEAR(TODAY())-YEAR(F323)&lt;18,"Juvenil",IF(YEAR(TODAY())-YEAR(F323)&lt;20,"Júnior",IF(YEAR(TODAY())-YEAR(F323)&lt;23,"sub 23",IF(ROUNDDOWN(INT(TODAY()-F323)/365.25,0)&lt;35,"Sénior",IF(ROUNDDOWN(INT(TODAY()-F323)/365.25,0)&lt;40,"V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65",IF(ROUNDDOWN(INT(TODAY()-F323)/365.25,0)&lt;75,"V 70",IF(ROUNDDOWN(INT(TODAY()-F323)/365.25,0)&lt;80,"V 75",IF(ROUNDDOWN(INT(TODAY()-F323)/365.25,0)&lt;85,"V 80",IF(ROUNDDOWN(INT(TODAY()-F323)/365.25,0)&lt;90,"V 85",IF(ROUNDDOWN(INT(TODAY()-F323)/365.25,0)&lt;95,"V 90",IF(ROUNDDOWN(INT(TODAY()-F323)/365.25,0)&lt;100,"V 95",IF(ROUNDDOWN(INT(TODAY()-F323)/365.25,0)&gt;=100,"V 100",""))))))))))))))))))))))),"")</f>
        <v>Sénior</v>
      </c>
      <c r="H323" s="28">
        <f t="shared" ref="H323:H386" ca="1" si="52">IFERROR(IF($A323&gt;0,ROUNDDOWN(INT(TODAY()-F323)/365.25,0),""),"")</f>
        <v>23</v>
      </c>
      <c r="J323" s="38" t="str">
        <f t="shared" si="46"/>
        <v>Kidline Gomes</v>
      </c>
      <c r="K323" s="39">
        <f t="shared" si="47"/>
        <v>201</v>
      </c>
      <c r="L323" s="39">
        <f t="shared" si="48"/>
        <v>129619</v>
      </c>
      <c r="M323" s="40">
        <f t="shared" ref="M323:M386" si="53">F323</f>
        <v>35813</v>
      </c>
      <c r="N323" s="41" t="str">
        <f t="shared" ref="N323:N386" ca="1" si="54">G323</f>
        <v>Sénior</v>
      </c>
      <c r="O323" s="41" t="str">
        <f t="shared" si="49"/>
        <v>F</v>
      </c>
      <c r="P323" s="60" t="str">
        <f t="shared" si="50"/>
        <v>CSM</v>
      </c>
      <c r="Q323" s="61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3">
      <c r="A324" s="28">
        <v>1315</v>
      </c>
      <c r="B324" s="28">
        <v>153045</v>
      </c>
      <c r="C324" s="129" t="s">
        <v>857</v>
      </c>
      <c r="D324" s="128" t="s">
        <v>170</v>
      </c>
      <c r="E324" s="128" t="s">
        <v>145</v>
      </c>
      <c r="F324" s="29">
        <v>27266</v>
      </c>
      <c r="G324" s="56" t="str">
        <f t="shared" ca="1" si="51"/>
        <v>V 45</v>
      </c>
      <c r="H324" s="28">
        <f t="shared" ca="1" si="52"/>
        <v>46</v>
      </c>
      <c r="J324" s="38" t="str">
        <f t="shared" si="46"/>
        <v>Emanuel Rodrigues</v>
      </c>
      <c r="K324" s="39">
        <f t="shared" si="47"/>
        <v>1315</v>
      </c>
      <c r="L324" s="39">
        <f t="shared" si="48"/>
        <v>153045</v>
      </c>
      <c r="M324" s="40">
        <f t="shared" si="53"/>
        <v>27266</v>
      </c>
      <c r="N324" s="41" t="str">
        <f t="shared" ca="1" si="54"/>
        <v>V 45</v>
      </c>
      <c r="O324" s="41" t="str">
        <f t="shared" si="49"/>
        <v>M</v>
      </c>
      <c r="P324" s="60" t="str">
        <f t="shared" si="50"/>
        <v>CCDTHF</v>
      </c>
      <c r="Q324" s="61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3">
      <c r="A325" s="28">
        <v>1321</v>
      </c>
      <c r="B325" s="28">
        <v>125516</v>
      </c>
      <c r="C325" s="129" t="s">
        <v>647</v>
      </c>
      <c r="D325" s="128" t="s">
        <v>170</v>
      </c>
      <c r="E325" s="128" t="s">
        <v>145</v>
      </c>
      <c r="F325" s="29">
        <v>32629</v>
      </c>
      <c r="G325" s="56" t="str">
        <f t="shared" ca="1" si="51"/>
        <v>Sénior</v>
      </c>
      <c r="H325" s="28">
        <f t="shared" ca="1" si="52"/>
        <v>31</v>
      </c>
      <c r="J325" s="38" t="str">
        <f t="shared" si="46"/>
        <v>Edwin Nunes</v>
      </c>
      <c r="K325" s="39">
        <f t="shared" si="47"/>
        <v>1321</v>
      </c>
      <c r="L325" s="39">
        <f t="shared" si="48"/>
        <v>125516</v>
      </c>
      <c r="M325" s="40">
        <f t="shared" si="53"/>
        <v>32629</v>
      </c>
      <c r="N325" s="41" t="str">
        <f t="shared" ca="1" si="54"/>
        <v>Sénior</v>
      </c>
      <c r="O325" s="41" t="str">
        <f t="shared" si="49"/>
        <v>M</v>
      </c>
      <c r="P325" s="60" t="str">
        <f t="shared" si="50"/>
        <v>CCDTHF</v>
      </c>
      <c r="Q325" s="61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3">
      <c r="A326" s="28">
        <v>1320</v>
      </c>
      <c r="B326" s="28">
        <v>146352</v>
      </c>
      <c r="C326" s="129" t="s">
        <v>669</v>
      </c>
      <c r="D326" s="128" t="s">
        <v>170</v>
      </c>
      <c r="E326" s="128" t="s">
        <v>145</v>
      </c>
      <c r="F326" s="29">
        <v>32439</v>
      </c>
      <c r="G326" s="56" t="str">
        <f t="shared" ca="1" si="51"/>
        <v>Sénior</v>
      </c>
      <c r="H326" s="28">
        <f t="shared" ca="1" si="52"/>
        <v>32</v>
      </c>
      <c r="J326" s="38" t="str">
        <f t="shared" si="46"/>
        <v>Yonny Pereira</v>
      </c>
      <c r="K326" s="39">
        <f t="shared" si="47"/>
        <v>1320</v>
      </c>
      <c r="L326" s="39">
        <f t="shared" si="48"/>
        <v>146352</v>
      </c>
      <c r="M326" s="40">
        <f t="shared" si="53"/>
        <v>32439</v>
      </c>
      <c r="N326" s="41" t="str">
        <f t="shared" ca="1" si="54"/>
        <v>Sénior</v>
      </c>
      <c r="O326" s="41" t="str">
        <f t="shared" si="49"/>
        <v>M</v>
      </c>
      <c r="P326" s="60" t="str">
        <f t="shared" si="50"/>
        <v>CCDTHF</v>
      </c>
      <c r="Q326" s="61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3">
      <c r="A327" s="28">
        <v>1314</v>
      </c>
      <c r="B327" s="28">
        <v>129595</v>
      </c>
      <c r="C327" s="129" t="s">
        <v>223</v>
      </c>
      <c r="D327" s="128" t="s">
        <v>170</v>
      </c>
      <c r="E327" s="128" t="s">
        <v>145</v>
      </c>
      <c r="F327" s="29">
        <v>26804</v>
      </c>
      <c r="G327" s="56" t="str">
        <f t="shared" ca="1" si="51"/>
        <v>V 45</v>
      </c>
      <c r="H327" s="28">
        <f t="shared" ca="1" si="52"/>
        <v>47</v>
      </c>
      <c r="J327" s="38" t="str">
        <f t="shared" si="46"/>
        <v>Bernardino Morgado</v>
      </c>
      <c r="K327" s="39">
        <f t="shared" si="47"/>
        <v>1314</v>
      </c>
      <c r="L327" s="39">
        <f t="shared" si="48"/>
        <v>129595</v>
      </c>
      <c r="M327" s="40">
        <f t="shared" si="53"/>
        <v>26804</v>
      </c>
      <c r="N327" s="41" t="str">
        <f t="shared" ca="1" si="54"/>
        <v>V 45</v>
      </c>
      <c r="O327" s="41" t="str">
        <f t="shared" si="49"/>
        <v>M</v>
      </c>
      <c r="P327" s="60" t="str">
        <f t="shared" si="50"/>
        <v>CCDTHF</v>
      </c>
      <c r="Q327" s="61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3">
      <c r="A328" s="28">
        <v>1319</v>
      </c>
      <c r="B328" s="28">
        <v>142973</v>
      </c>
      <c r="C328" s="129" t="s">
        <v>559</v>
      </c>
      <c r="D328" s="128" t="s">
        <v>170</v>
      </c>
      <c r="E328" s="128" t="s">
        <v>145</v>
      </c>
      <c r="F328" s="29">
        <v>33168</v>
      </c>
      <c r="G328" s="56" t="str">
        <f t="shared" ca="1" si="51"/>
        <v>Sénior</v>
      </c>
      <c r="H328" s="28">
        <f t="shared" ca="1" si="52"/>
        <v>30</v>
      </c>
      <c r="J328" s="38" t="str">
        <f t="shared" si="46"/>
        <v>Diogo André Nóbrega</v>
      </c>
      <c r="K328" s="39">
        <f t="shared" si="47"/>
        <v>1319</v>
      </c>
      <c r="L328" s="39">
        <f t="shared" si="48"/>
        <v>142973</v>
      </c>
      <c r="M328" s="40">
        <f t="shared" si="53"/>
        <v>33168</v>
      </c>
      <c r="N328" s="41" t="str">
        <f t="shared" ca="1" si="54"/>
        <v>Sénior</v>
      </c>
      <c r="O328" s="41" t="str">
        <f t="shared" si="49"/>
        <v>M</v>
      </c>
      <c r="P328" s="60" t="str">
        <f t="shared" si="50"/>
        <v>CCDTHF</v>
      </c>
      <c r="Q328" s="61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3">
      <c r="A329" s="28">
        <v>1313</v>
      </c>
      <c r="B329" s="28">
        <v>132287</v>
      </c>
      <c r="C329" s="129" t="s">
        <v>229</v>
      </c>
      <c r="D329" s="128" t="s">
        <v>170</v>
      </c>
      <c r="E329" s="128" t="s">
        <v>145</v>
      </c>
      <c r="F329" s="29">
        <v>27012</v>
      </c>
      <c r="G329" s="56" t="str">
        <f t="shared" ca="1" si="51"/>
        <v>V 45</v>
      </c>
      <c r="H329" s="28">
        <f t="shared" ca="1" si="52"/>
        <v>47</v>
      </c>
      <c r="J329" s="38" t="str">
        <f t="shared" si="46"/>
        <v>Orlando Ascensão</v>
      </c>
      <c r="K329" s="39">
        <f t="shared" si="47"/>
        <v>1313</v>
      </c>
      <c r="L329" s="39">
        <f t="shared" si="48"/>
        <v>132287</v>
      </c>
      <c r="M329" s="40">
        <f t="shared" si="53"/>
        <v>27012</v>
      </c>
      <c r="N329" s="41" t="str">
        <f t="shared" ca="1" si="54"/>
        <v>V 45</v>
      </c>
      <c r="O329" s="41" t="str">
        <f t="shared" si="49"/>
        <v>M</v>
      </c>
      <c r="P329" s="60" t="str">
        <f t="shared" si="50"/>
        <v>CCDTHF</v>
      </c>
      <c r="Q329" s="61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3">
      <c r="A330" s="28">
        <v>1318</v>
      </c>
      <c r="B330" s="28">
        <v>143081</v>
      </c>
      <c r="C330" s="129" t="s">
        <v>856</v>
      </c>
      <c r="D330" s="128" t="s">
        <v>170</v>
      </c>
      <c r="E330" s="128" t="s">
        <v>145</v>
      </c>
      <c r="F330" s="29">
        <v>33526</v>
      </c>
      <c r="G330" s="56" t="str">
        <f t="shared" ca="1" si="51"/>
        <v>Sénior</v>
      </c>
      <c r="H330" s="28">
        <f t="shared" ca="1" si="52"/>
        <v>29</v>
      </c>
      <c r="J330" s="38" t="str">
        <f t="shared" si="46"/>
        <v>Paulo Madruga</v>
      </c>
      <c r="K330" s="39">
        <f t="shared" si="47"/>
        <v>1318</v>
      </c>
      <c r="L330" s="39">
        <f t="shared" si="48"/>
        <v>143081</v>
      </c>
      <c r="M330" s="40">
        <f t="shared" si="53"/>
        <v>33526</v>
      </c>
      <c r="N330" s="41" t="str">
        <f t="shared" ca="1" si="54"/>
        <v>Sénior</v>
      </c>
      <c r="O330" s="41" t="str">
        <f t="shared" si="49"/>
        <v>M</v>
      </c>
      <c r="P330" s="60" t="str">
        <f t="shared" si="50"/>
        <v>CCDTHF</v>
      </c>
      <c r="Q330" s="61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3">
      <c r="A331" s="28">
        <v>1311</v>
      </c>
      <c r="B331" s="28">
        <v>131555</v>
      </c>
      <c r="C331" s="129" t="s">
        <v>230</v>
      </c>
      <c r="D331" s="128" t="s">
        <v>170</v>
      </c>
      <c r="E331" s="128" t="s">
        <v>145</v>
      </c>
      <c r="F331" s="29">
        <v>25703</v>
      </c>
      <c r="G331" s="56" t="str">
        <f t="shared" ca="1" si="51"/>
        <v>V 50</v>
      </c>
      <c r="H331" s="28">
        <f t="shared" ca="1" si="52"/>
        <v>50</v>
      </c>
      <c r="J331" s="38" t="str">
        <f t="shared" si="46"/>
        <v>Paulo Nuno Santos</v>
      </c>
      <c r="K331" s="39">
        <f t="shared" si="47"/>
        <v>1311</v>
      </c>
      <c r="L331" s="39">
        <f t="shared" si="48"/>
        <v>131555</v>
      </c>
      <c r="M331" s="40">
        <f t="shared" si="53"/>
        <v>25703</v>
      </c>
      <c r="N331" s="41" t="str">
        <f t="shared" ca="1" si="54"/>
        <v>V 50</v>
      </c>
      <c r="O331" s="41" t="str">
        <f t="shared" si="49"/>
        <v>M</v>
      </c>
      <c r="P331" s="60" t="str">
        <f t="shared" si="50"/>
        <v>CCDTHF</v>
      </c>
      <c r="Q331" s="6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3">
      <c r="A332" s="28">
        <v>1310</v>
      </c>
      <c r="B332" s="28">
        <v>130649</v>
      </c>
      <c r="C332" s="129" t="s">
        <v>222</v>
      </c>
      <c r="D332" s="128" t="s">
        <v>170</v>
      </c>
      <c r="E332" s="128" t="s">
        <v>145</v>
      </c>
      <c r="F332" s="29">
        <v>25515</v>
      </c>
      <c r="G332" s="56" t="str">
        <f t="shared" ca="1" si="51"/>
        <v>V 50</v>
      </c>
      <c r="H332" s="28">
        <f t="shared" ca="1" si="52"/>
        <v>51</v>
      </c>
      <c r="J332" s="38" t="str">
        <f t="shared" si="46"/>
        <v>António Gonçalves</v>
      </c>
      <c r="K332" s="39">
        <f t="shared" si="47"/>
        <v>1310</v>
      </c>
      <c r="L332" s="39">
        <f t="shared" si="48"/>
        <v>130649</v>
      </c>
      <c r="M332" s="40">
        <f t="shared" si="53"/>
        <v>25515</v>
      </c>
      <c r="N332" s="41" t="str">
        <f t="shared" ca="1" si="54"/>
        <v>V 50</v>
      </c>
      <c r="O332" s="41" t="str">
        <f t="shared" si="49"/>
        <v>M</v>
      </c>
      <c r="P332" s="60" t="str">
        <f t="shared" si="50"/>
        <v>CCDTHF</v>
      </c>
      <c r="Q332" s="61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3">
      <c r="A333" s="28">
        <v>96</v>
      </c>
      <c r="B333" s="28">
        <v>131030</v>
      </c>
      <c r="C333" s="129" t="s">
        <v>217</v>
      </c>
      <c r="D333" s="128" t="s">
        <v>170</v>
      </c>
      <c r="E333" s="128" t="s">
        <v>146</v>
      </c>
      <c r="F333" s="29">
        <v>24262</v>
      </c>
      <c r="G333" s="56" t="str">
        <f t="shared" ca="1" si="51"/>
        <v>V 50</v>
      </c>
      <c r="H333" s="28">
        <f t="shared" ca="1" si="52"/>
        <v>54</v>
      </c>
      <c r="J333" s="38" t="str">
        <f t="shared" si="46"/>
        <v>Celina Rodrigues</v>
      </c>
      <c r="K333" s="39">
        <f t="shared" si="47"/>
        <v>96</v>
      </c>
      <c r="L333" s="39">
        <f t="shared" si="48"/>
        <v>131030</v>
      </c>
      <c r="M333" s="40">
        <f t="shared" si="53"/>
        <v>24262</v>
      </c>
      <c r="N333" s="41" t="str">
        <f t="shared" ca="1" si="54"/>
        <v>V 50</v>
      </c>
      <c r="O333" s="41" t="str">
        <f t="shared" si="49"/>
        <v>F</v>
      </c>
      <c r="P333" s="60" t="str">
        <f t="shared" si="50"/>
        <v>CCDTHF</v>
      </c>
      <c r="Q333" s="61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3">
      <c r="A334" s="28">
        <v>1309</v>
      </c>
      <c r="B334" s="28">
        <v>130583</v>
      </c>
      <c r="C334" s="129" t="s">
        <v>221</v>
      </c>
      <c r="D334" s="128" t="s">
        <v>170</v>
      </c>
      <c r="E334" s="128" t="s">
        <v>145</v>
      </c>
      <c r="F334" s="29">
        <v>24525</v>
      </c>
      <c r="G334" s="56" t="str">
        <f t="shared" ca="1" si="51"/>
        <v>V 50</v>
      </c>
      <c r="H334" s="28">
        <f t="shared" ca="1" si="52"/>
        <v>54</v>
      </c>
      <c r="J334" s="38" t="str">
        <f t="shared" si="46"/>
        <v>Agostinho Freitas</v>
      </c>
      <c r="K334" s="39">
        <f t="shared" si="47"/>
        <v>1309</v>
      </c>
      <c r="L334" s="39">
        <f t="shared" si="48"/>
        <v>130583</v>
      </c>
      <c r="M334" s="40">
        <f t="shared" si="53"/>
        <v>24525</v>
      </c>
      <c r="N334" s="41" t="str">
        <f t="shared" ca="1" si="54"/>
        <v>V 50</v>
      </c>
      <c r="O334" s="41" t="str">
        <f t="shared" si="49"/>
        <v>M</v>
      </c>
      <c r="P334" s="60" t="str">
        <f t="shared" si="50"/>
        <v>CCDTHF</v>
      </c>
      <c r="Q334" s="61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3">
      <c r="A335" s="28">
        <v>1316</v>
      </c>
      <c r="B335" s="28">
        <v>130571</v>
      </c>
      <c r="C335" s="129" t="s">
        <v>224</v>
      </c>
      <c r="D335" s="128" t="s">
        <v>170</v>
      </c>
      <c r="E335" s="128" t="s">
        <v>145</v>
      </c>
      <c r="F335" s="29">
        <v>29088</v>
      </c>
      <c r="G335" s="56" t="str">
        <f t="shared" ca="1" si="51"/>
        <v>V 40</v>
      </c>
      <c r="H335" s="28">
        <f t="shared" ca="1" si="52"/>
        <v>41</v>
      </c>
      <c r="J335" s="38" t="str">
        <f t="shared" si="46"/>
        <v>Filipe Rodrigues</v>
      </c>
      <c r="K335" s="39">
        <f t="shared" si="47"/>
        <v>1316</v>
      </c>
      <c r="L335" s="39">
        <f t="shared" si="48"/>
        <v>130571</v>
      </c>
      <c r="M335" s="40">
        <f t="shared" si="53"/>
        <v>29088</v>
      </c>
      <c r="N335" s="41" t="str">
        <f t="shared" ca="1" si="54"/>
        <v>V 40</v>
      </c>
      <c r="O335" s="41" t="str">
        <f t="shared" si="49"/>
        <v>M</v>
      </c>
      <c r="P335" s="60" t="str">
        <f t="shared" si="50"/>
        <v>CCDTHF</v>
      </c>
      <c r="Q335" s="61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3">
      <c r="A336" s="28">
        <v>1312</v>
      </c>
      <c r="B336" s="28">
        <v>131402</v>
      </c>
      <c r="C336" s="129" t="s">
        <v>226</v>
      </c>
      <c r="D336" s="128" t="s">
        <v>170</v>
      </c>
      <c r="E336" s="128" t="s">
        <v>145</v>
      </c>
      <c r="F336" s="29">
        <v>26572</v>
      </c>
      <c r="G336" s="56" t="str">
        <f t="shared" ca="1" si="51"/>
        <v>V 45</v>
      </c>
      <c r="H336" s="28">
        <f t="shared" ca="1" si="52"/>
        <v>48</v>
      </c>
      <c r="J336" s="38" t="str">
        <f t="shared" si="46"/>
        <v>José Manuel Abreu</v>
      </c>
      <c r="K336" s="39">
        <f t="shared" si="47"/>
        <v>1312</v>
      </c>
      <c r="L336" s="39">
        <f t="shared" si="48"/>
        <v>131402</v>
      </c>
      <c r="M336" s="40">
        <f t="shared" si="53"/>
        <v>26572</v>
      </c>
      <c r="N336" s="41" t="str">
        <f t="shared" ca="1" si="54"/>
        <v>V 45</v>
      </c>
      <c r="O336" s="41" t="str">
        <f t="shared" si="49"/>
        <v>M</v>
      </c>
      <c r="P336" s="60" t="str">
        <f t="shared" si="50"/>
        <v>CCDTHF</v>
      </c>
      <c r="Q336" s="61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3">
      <c r="A337" s="28">
        <v>97</v>
      </c>
      <c r="B337" s="28">
        <v>129714</v>
      </c>
      <c r="C337" s="129" t="s">
        <v>220</v>
      </c>
      <c r="D337" s="128" t="s">
        <v>170</v>
      </c>
      <c r="E337" s="128" t="s">
        <v>146</v>
      </c>
      <c r="F337" s="29">
        <v>21270</v>
      </c>
      <c r="G337" s="56" t="str">
        <f t="shared" ca="1" si="51"/>
        <v>V 60</v>
      </c>
      <c r="H337" s="28">
        <f t="shared" ca="1" si="52"/>
        <v>63</v>
      </c>
      <c r="J337" s="38" t="str">
        <f t="shared" si="46"/>
        <v>Maria Silva</v>
      </c>
      <c r="K337" s="39">
        <f t="shared" si="47"/>
        <v>97</v>
      </c>
      <c r="L337" s="39">
        <f t="shared" si="48"/>
        <v>129714</v>
      </c>
      <c r="M337" s="40">
        <f t="shared" si="53"/>
        <v>21270</v>
      </c>
      <c r="N337" s="41" t="str">
        <f t="shared" ca="1" si="54"/>
        <v>V 60</v>
      </c>
      <c r="O337" s="41" t="str">
        <f t="shared" si="49"/>
        <v>F</v>
      </c>
      <c r="P337" s="60" t="str">
        <f t="shared" si="50"/>
        <v>CCDTHF</v>
      </c>
      <c r="Q337" s="61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3">
      <c r="A338" s="28">
        <v>1305</v>
      </c>
      <c r="B338" s="28">
        <v>129713</v>
      </c>
      <c r="C338" s="129" t="s">
        <v>227</v>
      </c>
      <c r="D338" s="128" t="s">
        <v>170</v>
      </c>
      <c r="E338" s="128" t="s">
        <v>145</v>
      </c>
      <c r="F338" s="29">
        <v>20624</v>
      </c>
      <c r="G338" s="56" t="str">
        <f t="shared" ca="1" si="51"/>
        <v>V 60</v>
      </c>
      <c r="H338" s="28">
        <f t="shared" ca="1" si="52"/>
        <v>64</v>
      </c>
      <c r="J338" s="38" t="str">
        <f t="shared" si="46"/>
        <v>José Sérgio Silva</v>
      </c>
      <c r="K338" s="39">
        <f t="shared" si="47"/>
        <v>1305</v>
      </c>
      <c r="L338" s="39">
        <f t="shared" si="48"/>
        <v>129713</v>
      </c>
      <c r="M338" s="40">
        <f t="shared" si="53"/>
        <v>20624</v>
      </c>
      <c r="N338" s="41" t="str">
        <f t="shared" ca="1" si="54"/>
        <v>V 60</v>
      </c>
      <c r="O338" s="41" t="str">
        <f t="shared" si="49"/>
        <v>M</v>
      </c>
      <c r="P338" s="60" t="str">
        <f t="shared" si="50"/>
        <v>CCDTHF</v>
      </c>
      <c r="Q338" s="61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3">
      <c r="A339" s="28">
        <v>93</v>
      </c>
      <c r="B339" s="28">
        <v>152651</v>
      </c>
      <c r="C339" s="129" t="s">
        <v>854</v>
      </c>
      <c r="D339" s="128" t="s">
        <v>170</v>
      </c>
      <c r="E339" s="128" t="s">
        <v>146</v>
      </c>
      <c r="F339" s="29">
        <v>36830</v>
      </c>
      <c r="G339" s="56" t="str">
        <f t="shared" ca="1" si="51"/>
        <v>sub 23</v>
      </c>
      <c r="H339" s="28">
        <f t="shared" ca="1" si="52"/>
        <v>20</v>
      </c>
      <c r="J339" s="38" t="str">
        <f t="shared" si="46"/>
        <v>Sara Morgado</v>
      </c>
      <c r="K339" s="39">
        <f t="shared" si="47"/>
        <v>93</v>
      </c>
      <c r="L339" s="39">
        <f t="shared" si="48"/>
        <v>152651</v>
      </c>
      <c r="M339" s="40">
        <f t="shared" si="53"/>
        <v>36830</v>
      </c>
      <c r="N339" s="41" t="str">
        <f t="shared" ca="1" si="54"/>
        <v>sub 23</v>
      </c>
      <c r="O339" s="41" t="str">
        <f t="shared" si="49"/>
        <v>F</v>
      </c>
      <c r="P339" s="60" t="str">
        <f t="shared" si="50"/>
        <v>CCDTHF</v>
      </c>
      <c r="Q339" s="61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3">
      <c r="A340" s="28">
        <v>94</v>
      </c>
      <c r="B340" s="28">
        <v>131543</v>
      </c>
      <c r="C340" s="129" t="s">
        <v>642</v>
      </c>
      <c r="D340" s="128" t="s">
        <v>170</v>
      </c>
      <c r="E340" s="128" t="s">
        <v>146</v>
      </c>
      <c r="F340" s="29">
        <v>26412</v>
      </c>
      <c r="G340" s="56" t="str">
        <f t="shared" ca="1" si="51"/>
        <v>V 45</v>
      </c>
      <c r="H340" s="28">
        <f t="shared" ca="1" si="52"/>
        <v>48</v>
      </c>
      <c r="J340" s="38" t="str">
        <f t="shared" si="46"/>
        <v>Manuela Morgado</v>
      </c>
      <c r="K340" s="39">
        <f t="shared" si="47"/>
        <v>94</v>
      </c>
      <c r="L340" s="39">
        <f t="shared" si="48"/>
        <v>131543</v>
      </c>
      <c r="M340" s="40">
        <f t="shared" si="53"/>
        <v>26412</v>
      </c>
      <c r="N340" s="41" t="str">
        <f t="shared" ca="1" si="54"/>
        <v>V 45</v>
      </c>
      <c r="O340" s="41" t="str">
        <f t="shared" si="49"/>
        <v>F</v>
      </c>
      <c r="P340" s="60" t="str">
        <f t="shared" si="50"/>
        <v>CCDTHF</v>
      </c>
      <c r="Q340" s="61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3">
      <c r="A341" s="28">
        <v>1308</v>
      </c>
      <c r="B341" s="28">
        <v>163430</v>
      </c>
      <c r="C341" s="129" t="s">
        <v>1477</v>
      </c>
      <c r="D341" s="128" t="s">
        <v>170</v>
      </c>
      <c r="E341" s="128" t="s">
        <v>145</v>
      </c>
      <c r="F341" s="29">
        <v>25673</v>
      </c>
      <c r="G341" s="56" t="str">
        <f t="shared" ca="1" si="51"/>
        <v>V 50</v>
      </c>
      <c r="H341" s="28">
        <f t="shared" ca="1" si="52"/>
        <v>51</v>
      </c>
      <c r="J341" s="38" t="str">
        <f t="shared" si="46"/>
        <v>Eduardo Baptista</v>
      </c>
      <c r="K341" s="39">
        <f t="shared" si="47"/>
        <v>1308</v>
      </c>
      <c r="L341" s="39">
        <f t="shared" si="48"/>
        <v>163430</v>
      </c>
      <c r="M341" s="40">
        <f t="shared" si="53"/>
        <v>25673</v>
      </c>
      <c r="N341" s="41" t="str">
        <f t="shared" ca="1" si="54"/>
        <v>V 50</v>
      </c>
      <c r="O341" s="41" t="str">
        <f t="shared" si="49"/>
        <v>M</v>
      </c>
      <c r="P341" s="60" t="str">
        <f t="shared" si="50"/>
        <v>CCDTHF</v>
      </c>
      <c r="Q341" s="6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3">
      <c r="A342" s="28">
        <v>1307</v>
      </c>
      <c r="B342" s="28">
        <v>157864</v>
      </c>
      <c r="C342" s="129" t="s">
        <v>1146</v>
      </c>
      <c r="D342" s="128" t="s">
        <v>170</v>
      </c>
      <c r="E342" s="128" t="s">
        <v>145</v>
      </c>
      <c r="F342" s="29">
        <v>24464</v>
      </c>
      <c r="G342" s="56" t="str">
        <f t="shared" ca="1" si="51"/>
        <v>V 50</v>
      </c>
      <c r="H342" s="28">
        <f t="shared" ca="1" si="52"/>
        <v>54</v>
      </c>
      <c r="J342" s="38" t="str">
        <f t="shared" si="46"/>
        <v>Eusébio Gomes</v>
      </c>
      <c r="K342" s="39">
        <f t="shared" si="47"/>
        <v>1307</v>
      </c>
      <c r="L342" s="39">
        <f t="shared" si="48"/>
        <v>157864</v>
      </c>
      <c r="M342" s="40">
        <f t="shared" si="53"/>
        <v>24464</v>
      </c>
      <c r="N342" s="41" t="str">
        <f t="shared" ca="1" si="54"/>
        <v>V 50</v>
      </c>
      <c r="O342" s="41" t="str">
        <f t="shared" si="49"/>
        <v>M</v>
      </c>
      <c r="P342" s="60" t="str">
        <f t="shared" si="50"/>
        <v>CCDTHF</v>
      </c>
      <c r="Q342" s="61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3">
      <c r="A343" s="28">
        <v>1306</v>
      </c>
      <c r="B343" s="28">
        <v>131026</v>
      </c>
      <c r="C343" s="129" t="s">
        <v>225</v>
      </c>
      <c r="D343" s="128" t="s">
        <v>170</v>
      </c>
      <c r="E343" s="128" t="s">
        <v>145</v>
      </c>
      <c r="F343" s="29">
        <v>24541</v>
      </c>
      <c r="G343" s="56" t="str">
        <f t="shared" ca="1" si="51"/>
        <v>V 50</v>
      </c>
      <c r="H343" s="28">
        <f t="shared" ca="1" si="52"/>
        <v>54</v>
      </c>
      <c r="J343" s="38" t="str">
        <f t="shared" si="46"/>
        <v>José Gama</v>
      </c>
      <c r="K343" s="39">
        <f t="shared" si="47"/>
        <v>1306</v>
      </c>
      <c r="L343" s="39">
        <f t="shared" si="48"/>
        <v>131026</v>
      </c>
      <c r="M343" s="40">
        <f t="shared" si="53"/>
        <v>24541</v>
      </c>
      <c r="N343" s="41" t="str">
        <f t="shared" ca="1" si="54"/>
        <v>V 50</v>
      </c>
      <c r="O343" s="41" t="str">
        <f t="shared" si="49"/>
        <v>M</v>
      </c>
      <c r="P343" s="60" t="str">
        <f t="shared" si="50"/>
        <v>CCDTHF</v>
      </c>
      <c r="Q343" s="61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3">
      <c r="A344" s="28">
        <v>95</v>
      </c>
      <c r="B344" s="28">
        <v>157860</v>
      </c>
      <c r="C344" s="129" t="s">
        <v>1145</v>
      </c>
      <c r="D344" s="128" t="s">
        <v>170</v>
      </c>
      <c r="E344" s="128" t="s">
        <v>146</v>
      </c>
      <c r="F344" s="29">
        <v>26292</v>
      </c>
      <c r="G344" s="56" t="str">
        <f t="shared" ca="1" si="51"/>
        <v>V 45</v>
      </c>
      <c r="H344" s="28">
        <f t="shared" ca="1" si="52"/>
        <v>49</v>
      </c>
      <c r="J344" s="38" t="str">
        <f t="shared" si="46"/>
        <v>Sara Figueira</v>
      </c>
      <c r="K344" s="39">
        <f t="shared" si="47"/>
        <v>95</v>
      </c>
      <c r="L344" s="39">
        <f t="shared" si="48"/>
        <v>157860</v>
      </c>
      <c r="M344" s="40">
        <f t="shared" si="53"/>
        <v>26292</v>
      </c>
      <c r="N344" s="41" t="str">
        <f t="shared" ca="1" si="54"/>
        <v>V 45</v>
      </c>
      <c r="O344" s="41" t="str">
        <f t="shared" si="49"/>
        <v>F</v>
      </c>
      <c r="P344" s="60" t="str">
        <f t="shared" si="50"/>
        <v>CCDTHF</v>
      </c>
      <c r="Q344" s="61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3">
      <c r="A345" s="28">
        <v>1317</v>
      </c>
      <c r="B345" s="28">
        <v>163474</v>
      </c>
      <c r="C345" s="129" t="s">
        <v>1478</v>
      </c>
      <c r="D345" s="128" t="s">
        <v>170</v>
      </c>
      <c r="E345" s="128" t="s">
        <v>145</v>
      </c>
      <c r="F345" s="29">
        <v>36682</v>
      </c>
      <c r="G345" s="56" t="str">
        <f t="shared" ca="1" si="51"/>
        <v>sub 23</v>
      </c>
      <c r="H345" s="28">
        <f t="shared" ca="1" si="52"/>
        <v>20</v>
      </c>
      <c r="J345" s="38" t="str">
        <f t="shared" si="46"/>
        <v>Guilherme Correia</v>
      </c>
      <c r="K345" s="39">
        <f t="shared" si="47"/>
        <v>1317</v>
      </c>
      <c r="L345" s="39">
        <f t="shared" si="48"/>
        <v>163474</v>
      </c>
      <c r="M345" s="40">
        <f t="shared" si="53"/>
        <v>36682</v>
      </c>
      <c r="N345" s="41" t="str">
        <f t="shared" ca="1" si="54"/>
        <v>sub 23</v>
      </c>
      <c r="O345" s="41" t="str">
        <f t="shared" si="49"/>
        <v>M</v>
      </c>
      <c r="P345" s="60" t="str">
        <f t="shared" si="50"/>
        <v>CCDTHF</v>
      </c>
      <c r="Q345" s="61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3">
      <c r="A346" s="28">
        <v>999</v>
      </c>
      <c r="B346" s="28">
        <v>140511</v>
      </c>
      <c r="C346" s="129" t="s">
        <v>496</v>
      </c>
      <c r="D346" s="128" t="s">
        <v>125</v>
      </c>
      <c r="E346" s="128" t="s">
        <v>145</v>
      </c>
      <c r="F346" s="29">
        <v>31791</v>
      </c>
      <c r="G346" s="56" t="str">
        <f t="shared" ca="1" si="51"/>
        <v>Sénior</v>
      </c>
      <c r="H346" s="28">
        <f t="shared" ca="1" si="52"/>
        <v>34</v>
      </c>
      <c r="J346" s="38" t="str">
        <f t="shared" si="46"/>
        <v>Pedro Silva</v>
      </c>
      <c r="K346" s="39">
        <f t="shared" si="47"/>
        <v>999</v>
      </c>
      <c r="L346" s="39">
        <f t="shared" si="48"/>
        <v>140511</v>
      </c>
      <c r="M346" s="40">
        <f t="shared" si="53"/>
        <v>31791</v>
      </c>
      <c r="N346" s="41" t="str">
        <f t="shared" ca="1" si="54"/>
        <v>Sénior</v>
      </c>
      <c r="O346" s="41" t="str">
        <f t="shared" si="49"/>
        <v>M</v>
      </c>
      <c r="P346" s="60" t="str">
        <f t="shared" si="50"/>
        <v>GDE</v>
      </c>
      <c r="Q346" s="61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3">
      <c r="A347" s="28">
        <v>219</v>
      </c>
      <c r="B347" s="28">
        <v>128279</v>
      </c>
      <c r="C347" s="129" t="s">
        <v>420</v>
      </c>
      <c r="D347" s="128" t="s">
        <v>125</v>
      </c>
      <c r="E347" s="128" t="s">
        <v>146</v>
      </c>
      <c r="F347" s="29">
        <v>31805</v>
      </c>
      <c r="G347" s="56" t="str">
        <f t="shared" ca="1" si="51"/>
        <v>Sénior</v>
      </c>
      <c r="H347" s="28">
        <f t="shared" ca="1" si="52"/>
        <v>34</v>
      </c>
      <c r="J347" s="38" t="str">
        <f t="shared" si="46"/>
        <v>Susana Lourenço</v>
      </c>
      <c r="K347" s="39">
        <f t="shared" si="47"/>
        <v>219</v>
      </c>
      <c r="L347" s="39">
        <f t="shared" si="48"/>
        <v>128279</v>
      </c>
      <c r="M347" s="40">
        <f t="shared" si="53"/>
        <v>31805</v>
      </c>
      <c r="N347" s="41" t="str">
        <f t="shared" ca="1" si="54"/>
        <v>Sénior</v>
      </c>
      <c r="O347" s="41" t="str">
        <f t="shared" si="49"/>
        <v>F</v>
      </c>
      <c r="P347" s="60" t="str">
        <f t="shared" si="50"/>
        <v>GDE</v>
      </c>
      <c r="Q347" s="61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3">
      <c r="A348" s="28">
        <v>990</v>
      </c>
      <c r="B348" s="28">
        <v>127388</v>
      </c>
      <c r="C348" s="129" t="s">
        <v>831</v>
      </c>
      <c r="D348" s="128" t="s">
        <v>125</v>
      </c>
      <c r="E348" s="128" t="s">
        <v>145</v>
      </c>
      <c r="F348" s="29">
        <v>28347</v>
      </c>
      <c r="G348" s="56" t="str">
        <f t="shared" ca="1" si="51"/>
        <v>V 40</v>
      </c>
      <c r="H348" s="28">
        <f t="shared" ca="1" si="52"/>
        <v>43</v>
      </c>
      <c r="J348" s="38" t="str">
        <f t="shared" si="46"/>
        <v>Lourenço Barcelos</v>
      </c>
      <c r="K348" s="39">
        <f t="shared" si="47"/>
        <v>990</v>
      </c>
      <c r="L348" s="39">
        <f t="shared" si="48"/>
        <v>127388</v>
      </c>
      <c r="M348" s="40">
        <f t="shared" si="53"/>
        <v>28347</v>
      </c>
      <c r="N348" s="41" t="str">
        <f t="shared" ca="1" si="54"/>
        <v>V 40</v>
      </c>
      <c r="O348" s="41" t="str">
        <f t="shared" si="49"/>
        <v>M</v>
      </c>
      <c r="P348" s="60" t="str">
        <f t="shared" si="50"/>
        <v>GDE</v>
      </c>
      <c r="Q348" s="61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3">
      <c r="A349" s="28">
        <v>220</v>
      </c>
      <c r="B349" s="28">
        <v>123666</v>
      </c>
      <c r="C349" s="129" t="s">
        <v>1182</v>
      </c>
      <c r="D349" s="128" t="s">
        <v>125</v>
      </c>
      <c r="E349" s="128" t="s">
        <v>146</v>
      </c>
      <c r="F349" s="29">
        <v>34805</v>
      </c>
      <c r="G349" s="56" t="str">
        <f t="shared" ca="1" si="51"/>
        <v>Sénior</v>
      </c>
      <c r="H349" s="28">
        <f t="shared" ca="1" si="52"/>
        <v>26</v>
      </c>
      <c r="J349" s="38" t="str">
        <f t="shared" si="46"/>
        <v>Lucinda Gomes</v>
      </c>
      <c r="K349" s="39">
        <f t="shared" si="47"/>
        <v>220</v>
      </c>
      <c r="L349" s="39">
        <f t="shared" si="48"/>
        <v>123666</v>
      </c>
      <c r="M349" s="40">
        <f t="shared" si="53"/>
        <v>34805</v>
      </c>
      <c r="N349" s="41" t="str">
        <f t="shared" ca="1" si="54"/>
        <v>Sénior</v>
      </c>
      <c r="O349" s="41" t="str">
        <f t="shared" si="49"/>
        <v>F</v>
      </c>
      <c r="P349" s="60" t="str">
        <f t="shared" si="50"/>
        <v>GDE</v>
      </c>
      <c r="Q349" s="61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3">
      <c r="A350" s="28">
        <v>221</v>
      </c>
      <c r="B350" s="28">
        <v>142790</v>
      </c>
      <c r="C350" s="129" t="s">
        <v>552</v>
      </c>
      <c r="D350" s="128" t="s">
        <v>125</v>
      </c>
      <c r="E350" s="128" t="s">
        <v>146</v>
      </c>
      <c r="F350" s="29">
        <v>31884</v>
      </c>
      <c r="G350" s="56" t="str">
        <f t="shared" ca="1" si="51"/>
        <v>Sénior</v>
      </c>
      <c r="H350" s="28">
        <f t="shared" ca="1" si="52"/>
        <v>34</v>
      </c>
      <c r="J350" s="38" t="str">
        <f t="shared" si="46"/>
        <v>Edna Rodrigues</v>
      </c>
      <c r="K350" s="39">
        <f t="shared" si="47"/>
        <v>221</v>
      </c>
      <c r="L350" s="39">
        <f t="shared" si="48"/>
        <v>142790</v>
      </c>
      <c r="M350" s="40">
        <f t="shared" si="53"/>
        <v>31884</v>
      </c>
      <c r="N350" s="41" t="str">
        <f t="shared" ca="1" si="54"/>
        <v>Sénior</v>
      </c>
      <c r="O350" s="41" t="str">
        <f t="shared" si="49"/>
        <v>F</v>
      </c>
      <c r="P350" s="60" t="str">
        <f t="shared" si="50"/>
        <v>GDE</v>
      </c>
      <c r="Q350" s="61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3">
      <c r="A351" s="28">
        <v>222</v>
      </c>
      <c r="B351" s="28">
        <v>124751</v>
      </c>
      <c r="C351" s="129" t="s">
        <v>122</v>
      </c>
      <c r="D351" s="128" t="s">
        <v>125</v>
      </c>
      <c r="E351" s="128" t="s">
        <v>146</v>
      </c>
      <c r="F351" s="29">
        <v>34054</v>
      </c>
      <c r="G351" s="56" t="str">
        <f t="shared" ca="1" si="51"/>
        <v>Sénior</v>
      </c>
      <c r="H351" s="28">
        <f t="shared" ca="1" si="52"/>
        <v>28</v>
      </c>
      <c r="J351" s="38" t="str">
        <f t="shared" si="46"/>
        <v>Sara Rodrigues</v>
      </c>
      <c r="K351" s="39">
        <f t="shared" si="47"/>
        <v>222</v>
      </c>
      <c r="L351" s="39">
        <f t="shared" si="48"/>
        <v>124751</v>
      </c>
      <c r="M351" s="40">
        <f t="shared" si="53"/>
        <v>34054</v>
      </c>
      <c r="N351" s="41" t="str">
        <f t="shared" ca="1" si="54"/>
        <v>Sénior</v>
      </c>
      <c r="O351" s="41" t="str">
        <f t="shared" si="49"/>
        <v>F</v>
      </c>
      <c r="P351" s="60" t="str">
        <f t="shared" si="50"/>
        <v>GDE</v>
      </c>
      <c r="Q351" s="6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3">
      <c r="A352" s="28">
        <v>1776</v>
      </c>
      <c r="B352" s="28">
        <v>142513</v>
      </c>
      <c r="C352" s="129" t="s">
        <v>547</v>
      </c>
      <c r="D352" s="128" t="s">
        <v>125</v>
      </c>
      <c r="E352" s="128" t="s">
        <v>146</v>
      </c>
      <c r="F352" s="29">
        <v>38853</v>
      </c>
      <c r="G352" s="56" t="str">
        <f t="shared" ca="1" si="51"/>
        <v>Iniciado</v>
      </c>
      <c r="H352" s="28">
        <f t="shared" ca="1" si="52"/>
        <v>14</v>
      </c>
      <c r="J352" s="38" t="str">
        <f t="shared" si="46"/>
        <v>Solange Nunes</v>
      </c>
      <c r="K352" s="39">
        <f t="shared" si="47"/>
        <v>1776</v>
      </c>
      <c r="L352" s="39">
        <f t="shared" si="48"/>
        <v>142513</v>
      </c>
      <c r="M352" s="40">
        <f t="shared" si="53"/>
        <v>38853</v>
      </c>
      <c r="N352" s="41" t="str">
        <f t="shared" ca="1" si="54"/>
        <v>Iniciado</v>
      </c>
      <c r="O352" s="41" t="str">
        <f t="shared" si="49"/>
        <v>F</v>
      </c>
      <c r="P352" s="60" t="str">
        <f t="shared" si="50"/>
        <v>GDE</v>
      </c>
      <c r="Q352" s="61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3">
      <c r="A353" s="28">
        <v>1887</v>
      </c>
      <c r="B353" s="28">
        <v>155451</v>
      </c>
      <c r="C353" s="129" t="s">
        <v>1029</v>
      </c>
      <c r="D353" s="128" t="s">
        <v>125</v>
      </c>
      <c r="E353" s="128" t="s">
        <v>145</v>
      </c>
      <c r="F353" s="29">
        <v>38884</v>
      </c>
      <c r="G353" s="56" t="str">
        <f t="shared" ca="1" si="51"/>
        <v>Iniciado</v>
      </c>
      <c r="H353" s="28">
        <f t="shared" ca="1" si="52"/>
        <v>14</v>
      </c>
      <c r="J353" s="38" t="str">
        <f t="shared" si="46"/>
        <v>Lourenço A. Viveiros</v>
      </c>
      <c r="K353" s="39">
        <f t="shared" si="47"/>
        <v>1887</v>
      </c>
      <c r="L353" s="39">
        <f t="shared" si="48"/>
        <v>155451</v>
      </c>
      <c r="M353" s="40">
        <f t="shared" si="53"/>
        <v>38884</v>
      </c>
      <c r="N353" s="41" t="str">
        <f t="shared" ca="1" si="54"/>
        <v>Iniciado</v>
      </c>
      <c r="O353" s="41" t="str">
        <f t="shared" si="49"/>
        <v>M</v>
      </c>
      <c r="P353" s="60" t="str">
        <f t="shared" si="50"/>
        <v>GDE</v>
      </c>
      <c r="Q353" s="61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3">
      <c r="A354" s="28">
        <v>1714</v>
      </c>
      <c r="B354" s="28">
        <v>144418</v>
      </c>
      <c r="C354" s="129" t="s">
        <v>950</v>
      </c>
      <c r="D354" s="128" t="s">
        <v>125</v>
      </c>
      <c r="E354" s="128" t="s">
        <v>145</v>
      </c>
      <c r="F354" s="29">
        <v>38146</v>
      </c>
      <c r="G354" s="56" t="str">
        <f t="shared" ca="1" si="51"/>
        <v>Juvenil</v>
      </c>
      <c r="H354" s="28">
        <f t="shared" ca="1" si="52"/>
        <v>16</v>
      </c>
      <c r="J354" s="38" t="str">
        <f t="shared" si="46"/>
        <v>Pedro F. Ferreira</v>
      </c>
      <c r="K354" s="39">
        <f t="shared" si="47"/>
        <v>1714</v>
      </c>
      <c r="L354" s="39">
        <f t="shared" si="48"/>
        <v>144418</v>
      </c>
      <c r="M354" s="40">
        <f t="shared" si="53"/>
        <v>38146</v>
      </c>
      <c r="N354" s="41" t="str">
        <f t="shared" ca="1" si="54"/>
        <v>Juvenil</v>
      </c>
      <c r="O354" s="41" t="str">
        <f t="shared" si="49"/>
        <v>M</v>
      </c>
      <c r="P354" s="60" t="str">
        <f t="shared" si="50"/>
        <v>GDE</v>
      </c>
      <c r="Q354" s="61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3">
      <c r="A355" s="28">
        <v>993</v>
      </c>
      <c r="B355" s="28">
        <v>139410</v>
      </c>
      <c r="C355" s="129" t="s">
        <v>1515</v>
      </c>
      <c r="D355" s="128" t="s">
        <v>125</v>
      </c>
      <c r="E355" s="128" t="s">
        <v>145</v>
      </c>
      <c r="F355" s="29">
        <v>36768</v>
      </c>
      <c r="G355" s="56" t="str">
        <f t="shared" ca="1" si="51"/>
        <v>sub 23</v>
      </c>
      <c r="H355" s="28">
        <f t="shared" ca="1" si="52"/>
        <v>20</v>
      </c>
      <c r="J355" s="38" t="str">
        <f t="shared" si="46"/>
        <v>Rodrigo Rito</v>
      </c>
      <c r="K355" s="39">
        <f t="shared" si="47"/>
        <v>993</v>
      </c>
      <c r="L355" s="39">
        <f t="shared" si="48"/>
        <v>139410</v>
      </c>
      <c r="M355" s="40">
        <f t="shared" si="53"/>
        <v>36768</v>
      </c>
      <c r="N355" s="41" t="str">
        <f t="shared" ca="1" si="54"/>
        <v>sub 23</v>
      </c>
      <c r="O355" s="41" t="str">
        <f t="shared" si="49"/>
        <v>M</v>
      </c>
      <c r="P355" s="60" t="str">
        <f t="shared" si="50"/>
        <v>GDE</v>
      </c>
      <c r="Q355" s="61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3">
      <c r="A356" s="28">
        <v>992</v>
      </c>
      <c r="B356" s="28">
        <v>149996</v>
      </c>
      <c r="C356" s="129" t="s">
        <v>1516</v>
      </c>
      <c r="D356" s="128" t="s">
        <v>125</v>
      </c>
      <c r="E356" s="128" t="s">
        <v>145</v>
      </c>
      <c r="F356" s="29">
        <v>37216</v>
      </c>
      <c r="G356" s="56" t="str">
        <f t="shared" ca="1" si="51"/>
        <v>sub 23</v>
      </c>
      <c r="H356" s="28">
        <f t="shared" ca="1" si="52"/>
        <v>19</v>
      </c>
      <c r="J356" s="38" t="str">
        <f t="shared" si="46"/>
        <v>Miguel Moreira</v>
      </c>
      <c r="K356" s="39">
        <f t="shared" si="47"/>
        <v>992</v>
      </c>
      <c r="L356" s="39">
        <f t="shared" si="48"/>
        <v>149996</v>
      </c>
      <c r="M356" s="40">
        <f t="shared" si="53"/>
        <v>37216</v>
      </c>
      <c r="N356" s="41" t="str">
        <f t="shared" ca="1" si="54"/>
        <v>sub 23</v>
      </c>
      <c r="O356" s="41" t="str">
        <f t="shared" si="49"/>
        <v>M</v>
      </c>
      <c r="P356" s="60" t="str">
        <f t="shared" si="50"/>
        <v>GDE</v>
      </c>
      <c r="Q356" s="61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3">
      <c r="A357" s="28">
        <v>223</v>
      </c>
      <c r="B357" s="28">
        <v>124330</v>
      </c>
      <c r="C357" s="129" t="s">
        <v>1513</v>
      </c>
      <c r="D357" s="128" t="s">
        <v>125</v>
      </c>
      <c r="E357" s="128" t="s">
        <v>146</v>
      </c>
      <c r="F357" s="29">
        <v>35376</v>
      </c>
      <c r="G357" s="56" t="str">
        <f t="shared" ca="1" si="51"/>
        <v>Sénior</v>
      </c>
      <c r="H357" s="28">
        <f t="shared" ca="1" si="52"/>
        <v>24</v>
      </c>
      <c r="J357" s="38" t="str">
        <f t="shared" si="46"/>
        <v>Sofia Duarte</v>
      </c>
      <c r="K357" s="39">
        <f t="shared" si="47"/>
        <v>223</v>
      </c>
      <c r="L357" s="39">
        <f t="shared" si="48"/>
        <v>124330</v>
      </c>
      <c r="M357" s="40">
        <f t="shared" si="53"/>
        <v>35376</v>
      </c>
      <c r="N357" s="41" t="str">
        <f t="shared" ca="1" si="54"/>
        <v>Sénior</v>
      </c>
      <c r="O357" s="41" t="str">
        <f t="shared" si="49"/>
        <v>F</v>
      </c>
      <c r="P357" s="60" t="str">
        <f t="shared" si="50"/>
        <v>GDE</v>
      </c>
      <c r="Q357" s="61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3">
      <c r="A358" s="28">
        <v>1749</v>
      </c>
      <c r="B358" s="28">
        <v>131140</v>
      </c>
      <c r="C358" s="129" t="s">
        <v>1311</v>
      </c>
      <c r="D358" s="128" t="s">
        <v>97</v>
      </c>
      <c r="E358" s="128" t="s">
        <v>145</v>
      </c>
      <c r="F358" s="29">
        <v>37950</v>
      </c>
      <c r="G358" s="56" t="str">
        <f t="shared" ca="1" si="51"/>
        <v>Júnior</v>
      </c>
      <c r="H358" s="28">
        <f t="shared" ca="1" si="52"/>
        <v>17</v>
      </c>
      <c r="J358" s="38" t="str">
        <f t="shared" si="46"/>
        <v>João Marote</v>
      </c>
      <c r="K358" s="39">
        <f t="shared" si="47"/>
        <v>1749</v>
      </c>
      <c r="L358" s="39">
        <f t="shared" si="48"/>
        <v>131140</v>
      </c>
      <c r="M358" s="40">
        <f t="shared" si="53"/>
        <v>37950</v>
      </c>
      <c r="N358" s="41" t="str">
        <f t="shared" ca="1" si="54"/>
        <v>Júnior</v>
      </c>
      <c r="O358" s="41" t="str">
        <f t="shared" si="49"/>
        <v>M</v>
      </c>
      <c r="P358" s="60" t="str">
        <f t="shared" si="50"/>
        <v>ADRAP</v>
      </c>
      <c r="Q358" s="61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3">
      <c r="A359" s="28">
        <v>234</v>
      </c>
      <c r="B359" s="28">
        <v>153052</v>
      </c>
      <c r="C359" s="129" t="s">
        <v>820</v>
      </c>
      <c r="D359" s="128" t="s">
        <v>1241</v>
      </c>
      <c r="E359" s="128" t="s">
        <v>146</v>
      </c>
      <c r="F359" s="29">
        <v>26182</v>
      </c>
      <c r="G359" s="56" t="str">
        <f t="shared" ca="1" si="51"/>
        <v>V 45</v>
      </c>
      <c r="H359" s="28">
        <f t="shared" ca="1" si="52"/>
        <v>49</v>
      </c>
      <c r="J359" s="38" t="str">
        <f t="shared" si="46"/>
        <v>Fátima Mª Ferreira</v>
      </c>
      <c r="K359" s="39">
        <f t="shared" si="47"/>
        <v>234</v>
      </c>
      <c r="L359" s="39">
        <f t="shared" si="48"/>
        <v>153052</v>
      </c>
      <c r="M359" s="40">
        <f t="shared" si="53"/>
        <v>26182</v>
      </c>
      <c r="N359" s="41" t="str">
        <f t="shared" ca="1" si="54"/>
        <v>V 45</v>
      </c>
      <c r="O359" s="41" t="str">
        <f t="shared" si="49"/>
        <v>F</v>
      </c>
      <c r="P359" s="60" t="str">
        <f t="shared" si="50"/>
        <v>GRCC</v>
      </c>
      <c r="Q359" s="61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3">
      <c r="A360" s="28">
        <v>232</v>
      </c>
      <c r="B360" s="28">
        <v>154931</v>
      </c>
      <c r="C360" s="129" t="s">
        <v>1003</v>
      </c>
      <c r="D360" s="128" t="s">
        <v>1241</v>
      </c>
      <c r="E360" s="128" t="s">
        <v>146</v>
      </c>
      <c r="F360" s="29">
        <v>28979</v>
      </c>
      <c r="G360" s="56" t="str">
        <f t="shared" ca="1" si="51"/>
        <v>V 40</v>
      </c>
      <c r="H360" s="28">
        <f t="shared" ca="1" si="52"/>
        <v>41</v>
      </c>
      <c r="J360" s="38" t="str">
        <f t="shared" si="46"/>
        <v>Filipa Franco</v>
      </c>
      <c r="K360" s="39">
        <f t="shared" si="47"/>
        <v>232</v>
      </c>
      <c r="L360" s="39">
        <f t="shared" si="48"/>
        <v>154931</v>
      </c>
      <c r="M360" s="40">
        <f t="shared" si="53"/>
        <v>28979</v>
      </c>
      <c r="N360" s="41" t="str">
        <f t="shared" ca="1" si="54"/>
        <v>V 40</v>
      </c>
      <c r="O360" s="41" t="str">
        <f t="shared" si="49"/>
        <v>F</v>
      </c>
      <c r="P360" s="60" t="str">
        <f t="shared" si="50"/>
        <v>GRCC</v>
      </c>
      <c r="Q360" s="61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3">
      <c r="A361" s="28">
        <v>230</v>
      </c>
      <c r="B361" s="28">
        <v>142744</v>
      </c>
      <c r="C361" s="129" t="s">
        <v>1224</v>
      </c>
      <c r="D361" s="128" t="s">
        <v>1241</v>
      </c>
      <c r="E361" s="128" t="s">
        <v>146</v>
      </c>
      <c r="F361" s="29">
        <v>30689</v>
      </c>
      <c r="G361" s="56" t="str">
        <f t="shared" ca="1" si="51"/>
        <v>V 35</v>
      </c>
      <c r="H361" s="28">
        <f t="shared" ca="1" si="52"/>
        <v>37</v>
      </c>
      <c r="J361" s="38" t="str">
        <f t="shared" si="46"/>
        <v>Elsa Carvalho</v>
      </c>
      <c r="K361" s="39">
        <f t="shared" si="47"/>
        <v>230</v>
      </c>
      <c r="L361" s="39">
        <f t="shared" si="48"/>
        <v>142744</v>
      </c>
      <c r="M361" s="40">
        <f t="shared" si="53"/>
        <v>30689</v>
      </c>
      <c r="N361" s="41" t="str">
        <f t="shared" ca="1" si="54"/>
        <v>V 35</v>
      </c>
      <c r="O361" s="41" t="str">
        <f t="shared" si="49"/>
        <v>F</v>
      </c>
      <c r="P361" s="60" t="str">
        <f t="shared" si="50"/>
        <v>GRCC</v>
      </c>
      <c r="Q361" s="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3">
      <c r="A362" s="28">
        <v>1579</v>
      </c>
      <c r="B362" s="28">
        <v>159042</v>
      </c>
      <c r="C362" s="129" t="s">
        <v>1226</v>
      </c>
      <c r="D362" s="128" t="s">
        <v>1241</v>
      </c>
      <c r="E362" s="128" t="s">
        <v>146</v>
      </c>
      <c r="F362" s="29">
        <v>37679</v>
      </c>
      <c r="G362" s="56" t="str">
        <f t="shared" ca="1" si="51"/>
        <v>Júnior</v>
      </c>
      <c r="H362" s="28">
        <f t="shared" ca="1" si="52"/>
        <v>18</v>
      </c>
      <c r="J362" s="38" t="str">
        <f t="shared" si="46"/>
        <v>Catarina Góis</v>
      </c>
      <c r="K362" s="39">
        <f t="shared" si="47"/>
        <v>1579</v>
      </c>
      <c r="L362" s="39">
        <f t="shared" si="48"/>
        <v>159042</v>
      </c>
      <c r="M362" s="40">
        <f t="shared" si="53"/>
        <v>37679</v>
      </c>
      <c r="N362" s="41" t="str">
        <f t="shared" ca="1" si="54"/>
        <v>Júnior</v>
      </c>
      <c r="O362" s="41" t="str">
        <f t="shared" si="49"/>
        <v>F</v>
      </c>
      <c r="P362" s="60" t="str">
        <f t="shared" si="50"/>
        <v>GRCC</v>
      </c>
      <c r="Q362" s="61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3">
      <c r="A363" s="28">
        <v>235</v>
      </c>
      <c r="B363" s="28">
        <v>158707</v>
      </c>
      <c r="C363" s="129" t="s">
        <v>1222</v>
      </c>
      <c r="D363" s="128" t="s">
        <v>1241</v>
      </c>
      <c r="E363" s="128" t="s">
        <v>146</v>
      </c>
      <c r="F363" s="29">
        <v>26040</v>
      </c>
      <c r="G363" s="56" t="str">
        <f t="shared" ca="1" si="51"/>
        <v>V 50</v>
      </c>
      <c r="H363" s="28">
        <f t="shared" ca="1" si="52"/>
        <v>50</v>
      </c>
      <c r="J363" s="38" t="str">
        <f t="shared" si="46"/>
        <v>Elsa Sousa</v>
      </c>
      <c r="K363" s="39">
        <f t="shared" si="47"/>
        <v>235</v>
      </c>
      <c r="L363" s="39">
        <f t="shared" si="48"/>
        <v>158707</v>
      </c>
      <c r="M363" s="40">
        <f t="shared" si="53"/>
        <v>26040</v>
      </c>
      <c r="N363" s="41" t="str">
        <f t="shared" ca="1" si="54"/>
        <v>V 50</v>
      </c>
      <c r="O363" s="41" t="str">
        <f t="shared" si="49"/>
        <v>F</v>
      </c>
      <c r="P363" s="60" t="str">
        <f t="shared" si="50"/>
        <v>GRCC</v>
      </c>
      <c r="Q363" s="61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3">
      <c r="A364" s="28">
        <v>1711</v>
      </c>
      <c r="B364" s="28">
        <v>145981</v>
      </c>
      <c r="C364" s="129" t="s">
        <v>573</v>
      </c>
      <c r="D364" s="128" t="s">
        <v>1241</v>
      </c>
      <c r="E364" s="128" t="s">
        <v>145</v>
      </c>
      <c r="F364" s="29">
        <v>38056</v>
      </c>
      <c r="G364" s="56" t="str">
        <f t="shared" ca="1" si="51"/>
        <v>Juvenil</v>
      </c>
      <c r="H364" s="28">
        <f t="shared" ca="1" si="52"/>
        <v>17</v>
      </c>
      <c r="J364" s="38" t="str">
        <f t="shared" si="46"/>
        <v>Nuno Coelho</v>
      </c>
      <c r="K364" s="39">
        <f t="shared" si="47"/>
        <v>1711</v>
      </c>
      <c r="L364" s="39">
        <f t="shared" si="48"/>
        <v>145981</v>
      </c>
      <c r="M364" s="40">
        <f t="shared" si="53"/>
        <v>38056</v>
      </c>
      <c r="N364" s="41" t="str">
        <f t="shared" ca="1" si="54"/>
        <v>Juvenil</v>
      </c>
      <c r="O364" s="41" t="str">
        <f t="shared" si="49"/>
        <v>M</v>
      </c>
      <c r="P364" s="60" t="str">
        <f t="shared" si="50"/>
        <v>GRCC</v>
      </c>
      <c r="Q364" s="61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3">
      <c r="A365" s="28">
        <v>239</v>
      </c>
      <c r="B365" s="28">
        <v>146291</v>
      </c>
      <c r="C365" s="129" t="s">
        <v>571</v>
      </c>
      <c r="D365" s="128" t="s">
        <v>1241</v>
      </c>
      <c r="E365" s="128" t="s">
        <v>146</v>
      </c>
      <c r="F365" s="29">
        <v>25824</v>
      </c>
      <c r="G365" s="56" t="str">
        <f t="shared" ca="1" si="51"/>
        <v>V 50</v>
      </c>
      <c r="H365" s="28">
        <f t="shared" ca="1" si="52"/>
        <v>50</v>
      </c>
      <c r="J365" s="38" t="str">
        <f t="shared" si="46"/>
        <v>Dina Capelo Silva</v>
      </c>
      <c r="K365" s="39">
        <f t="shared" si="47"/>
        <v>239</v>
      </c>
      <c r="L365" s="39">
        <f t="shared" si="48"/>
        <v>146291</v>
      </c>
      <c r="M365" s="40">
        <f t="shared" si="53"/>
        <v>25824</v>
      </c>
      <c r="N365" s="41" t="str">
        <f t="shared" ca="1" si="54"/>
        <v>V 50</v>
      </c>
      <c r="O365" s="41" t="str">
        <f t="shared" si="49"/>
        <v>F</v>
      </c>
      <c r="P365" s="60" t="str">
        <f t="shared" si="50"/>
        <v>GRCC</v>
      </c>
      <c r="Q365" s="61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3">
      <c r="A366" s="28">
        <v>979</v>
      </c>
      <c r="B366" s="28">
        <v>158706</v>
      </c>
      <c r="C366" s="129" t="s">
        <v>1227</v>
      </c>
      <c r="D366" s="128" t="s">
        <v>1241</v>
      </c>
      <c r="E366" s="128" t="s">
        <v>145</v>
      </c>
      <c r="F366" s="29">
        <v>26588</v>
      </c>
      <c r="G366" s="56" t="str">
        <f t="shared" ca="1" si="51"/>
        <v>V 45</v>
      </c>
      <c r="H366" s="28">
        <f t="shared" ca="1" si="52"/>
        <v>48</v>
      </c>
      <c r="J366" s="38" t="str">
        <f t="shared" si="46"/>
        <v>João José Sousa</v>
      </c>
      <c r="K366" s="39">
        <f t="shared" si="47"/>
        <v>979</v>
      </c>
      <c r="L366" s="39">
        <f t="shared" si="48"/>
        <v>158706</v>
      </c>
      <c r="M366" s="40">
        <f t="shared" si="53"/>
        <v>26588</v>
      </c>
      <c r="N366" s="41" t="str">
        <f t="shared" ca="1" si="54"/>
        <v>V 45</v>
      </c>
      <c r="O366" s="41" t="str">
        <f t="shared" si="49"/>
        <v>M</v>
      </c>
      <c r="P366" s="60" t="str">
        <f t="shared" si="50"/>
        <v>GRCC</v>
      </c>
      <c r="Q366" s="61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3">
      <c r="A367" s="28">
        <v>982</v>
      </c>
      <c r="B367" s="28">
        <v>139361</v>
      </c>
      <c r="C367" s="129" t="s">
        <v>467</v>
      </c>
      <c r="D367" s="128" t="s">
        <v>1241</v>
      </c>
      <c r="E367" s="128" t="s">
        <v>145</v>
      </c>
      <c r="F367" s="29">
        <v>29101</v>
      </c>
      <c r="G367" s="56" t="str">
        <f t="shared" ca="1" si="51"/>
        <v>V 40</v>
      </c>
      <c r="H367" s="28">
        <f t="shared" ca="1" si="52"/>
        <v>41</v>
      </c>
      <c r="J367" s="38" t="str">
        <f t="shared" si="46"/>
        <v>João André Silva</v>
      </c>
      <c r="K367" s="39">
        <f t="shared" si="47"/>
        <v>982</v>
      </c>
      <c r="L367" s="39">
        <f t="shared" si="48"/>
        <v>139361</v>
      </c>
      <c r="M367" s="40">
        <f t="shared" si="53"/>
        <v>29101</v>
      </c>
      <c r="N367" s="41" t="str">
        <f t="shared" ca="1" si="54"/>
        <v>V 40</v>
      </c>
      <c r="O367" s="41" t="str">
        <f t="shared" si="49"/>
        <v>M</v>
      </c>
      <c r="P367" s="60" t="str">
        <f t="shared" si="50"/>
        <v>GRCC</v>
      </c>
      <c r="Q367" s="61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3">
      <c r="A368" s="28">
        <v>975</v>
      </c>
      <c r="B368" s="28">
        <v>128255</v>
      </c>
      <c r="C368" s="129" t="s">
        <v>403</v>
      </c>
      <c r="D368" s="128" t="s">
        <v>1241</v>
      </c>
      <c r="E368" s="128" t="s">
        <v>145</v>
      </c>
      <c r="F368" s="29">
        <v>22158</v>
      </c>
      <c r="G368" s="56" t="str">
        <f t="shared" ca="1" si="51"/>
        <v>V 60</v>
      </c>
      <c r="H368" s="28">
        <f t="shared" ca="1" si="52"/>
        <v>60</v>
      </c>
      <c r="J368" s="38" t="str">
        <f t="shared" si="46"/>
        <v>João M.F. Ornelas</v>
      </c>
      <c r="K368" s="39">
        <f t="shared" si="47"/>
        <v>975</v>
      </c>
      <c r="L368" s="39">
        <f t="shared" si="48"/>
        <v>128255</v>
      </c>
      <c r="M368" s="40">
        <f t="shared" si="53"/>
        <v>22158</v>
      </c>
      <c r="N368" s="41" t="str">
        <f t="shared" ca="1" si="54"/>
        <v>V 60</v>
      </c>
      <c r="O368" s="41" t="str">
        <f t="shared" si="49"/>
        <v>M</v>
      </c>
      <c r="P368" s="60" t="str">
        <f t="shared" si="50"/>
        <v>GRCC</v>
      </c>
      <c r="Q368" s="61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3">
      <c r="A369" s="28">
        <v>236</v>
      </c>
      <c r="B369" s="28">
        <v>157703</v>
      </c>
      <c r="C369" s="129" t="s">
        <v>1223</v>
      </c>
      <c r="D369" s="128" t="s">
        <v>1241</v>
      </c>
      <c r="E369" s="128" t="s">
        <v>146</v>
      </c>
      <c r="F369" s="29">
        <v>27578</v>
      </c>
      <c r="G369" s="56" t="str">
        <f t="shared" ca="1" si="51"/>
        <v>V 45</v>
      </c>
      <c r="H369" s="28">
        <f t="shared" ca="1" si="52"/>
        <v>45</v>
      </c>
      <c r="J369" s="38" t="str">
        <f t="shared" si="46"/>
        <v>Anna Afonso</v>
      </c>
      <c r="K369" s="39">
        <f t="shared" si="47"/>
        <v>236</v>
      </c>
      <c r="L369" s="39">
        <f t="shared" si="48"/>
        <v>157703</v>
      </c>
      <c r="M369" s="40">
        <f t="shared" si="53"/>
        <v>27578</v>
      </c>
      <c r="N369" s="41" t="str">
        <f t="shared" ca="1" si="54"/>
        <v>V 45</v>
      </c>
      <c r="O369" s="41" t="str">
        <f t="shared" si="49"/>
        <v>F</v>
      </c>
      <c r="P369" s="60" t="str">
        <f t="shared" si="50"/>
        <v>GRCC</v>
      </c>
      <c r="Q369" s="61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3">
      <c r="A370" s="28">
        <v>984</v>
      </c>
      <c r="B370" s="28">
        <v>153122</v>
      </c>
      <c r="C370" s="129" t="s">
        <v>821</v>
      </c>
      <c r="D370" s="128" t="s">
        <v>1241</v>
      </c>
      <c r="E370" s="128" t="s">
        <v>145</v>
      </c>
      <c r="F370" s="29">
        <v>29918</v>
      </c>
      <c r="G370" s="56" t="str">
        <f t="shared" ca="1" si="51"/>
        <v>V 35</v>
      </c>
      <c r="H370" s="28">
        <f t="shared" ca="1" si="52"/>
        <v>39</v>
      </c>
      <c r="J370" s="38" t="str">
        <f t="shared" si="46"/>
        <v>Nelson Sousa</v>
      </c>
      <c r="K370" s="39">
        <f t="shared" si="47"/>
        <v>984</v>
      </c>
      <c r="L370" s="39">
        <f t="shared" si="48"/>
        <v>153122</v>
      </c>
      <c r="M370" s="40">
        <f t="shared" si="53"/>
        <v>29918</v>
      </c>
      <c r="N370" s="41" t="str">
        <f t="shared" ca="1" si="54"/>
        <v>V 35</v>
      </c>
      <c r="O370" s="41" t="str">
        <f t="shared" si="49"/>
        <v>M</v>
      </c>
      <c r="P370" s="60" t="str">
        <f t="shared" si="50"/>
        <v>GRCC</v>
      </c>
      <c r="Q370" s="61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3">
      <c r="A371" s="28">
        <v>976</v>
      </c>
      <c r="B371" s="28">
        <v>140620</v>
      </c>
      <c r="C371" s="129" t="s">
        <v>464</v>
      </c>
      <c r="D371" s="128" t="s">
        <v>1241</v>
      </c>
      <c r="E371" s="128" t="s">
        <v>145</v>
      </c>
      <c r="F371" s="29">
        <v>23245</v>
      </c>
      <c r="G371" s="56" t="str">
        <f t="shared" ca="1" si="51"/>
        <v>V 55</v>
      </c>
      <c r="H371" s="28">
        <f t="shared" ca="1" si="52"/>
        <v>57</v>
      </c>
      <c r="J371" s="38" t="str">
        <f t="shared" si="46"/>
        <v>Duarte Camacho</v>
      </c>
      <c r="K371" s="39">
        <f t="shared" si="47"/>
        <v>976</v>
      </c>
      <c r="L371" s="39">
        <f t="shared" si="48"/>
        <v>140620</v>
      </c>
      <c r="M371" s="40">
        <f t="shared" si="53"/>
        <v>23245</v>
      </c>
      <c r="N371" s="41" t="str">
        <f t="shared" ca="1" si="54"/>
        <v>V 55</v>
      </c>
      <c r="O371" s="41" t="str">
        <f t="shared" si="49"/>
        <v>M</v>
      </c>
      <c r="P371" s="60" t="str">
        <f t="shared" si="50"/>
        <v>GRCC</v>
      </c>
      <c r="Q371" s="6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3">
      <c r="A372" s="28">
        <v>987</v>
      </c>
      <c r="B372" s="28">
        <v>151890</v>
      </c>
      <c r="C372" s="129" t="s">
        <v>810</v>
      </c>
      <c r="D372" s="128" t="s">
        <v>1241</v>
      </c>
      <c r="E372" s="128" t="s">
        <v>145</v>
      </c>
      <c r="F372" s="29">
        <v>35062</v>
      </c>
      <c r="G372" s="56" t="str">
        <f t="shared" ca="1" si="51"/>
        <v>Sénior</v>
      </c>
      <c r="H372" s="28">
        <f t="shared" ca="1" si="52"/>
        <v>25</v>
      </c>
      <c r="J372" s="38" t="str">
        <f t="shared" si="46"/>
        <v>Francisco Camacho</v>
      </c>
      <c r="K372" s="39">
        <f t="shared" si="47"/>
        <v>987</v>
      </c>
      <c r="L372" s="39">
        <f t="shared" si="48"/>
        <v>151890</v>
      </c>
      <c r="M372" s="40">
        <f t="shared" si="53"/>
        <v>35062</v>
      </c>
      <c r="N372" s="41" t="str">
        <f t="shared" ca="1" si="54"/>
        <v>Sénior</v>
      </c>
      <c r="O372" s="41" t="str">
        <f t="shared" si="49"/>
        <v>M</v>
      </c>
      <c r="P372" s="60" t="str">
        <f t="shared" si="50"/>
        <v>GRCC</v>
      </c>
      <c r="Q372" s="61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3">
      <c r="A373" s="28">
        <v>998</v>
      </c>
      <c r="B373" s="28">
        <v>126310</v>
      </c>
      <c r="C373" s="129" t="s">
        <v>1517</v>
      </c>
      <c r="D373" s="128" t="s">
        <v>125</v>
      </c>
      <c r="E373" s="128" t="s">
        <v>145</v>
      </c>
      <c r="F373" s="29">
        <v>33559</v>
      </c>
      <c r="G373" s="56" t="str">
        <f t="shared" ca="1" si="51"/>
        <v>Sénior</v>
      </c>
      <c r="H373" s="28">
        <f t="shared" ca="1" si="52"/>
        <v>29</v>
      </c>
      <c r="J373" s="38" t="str">
        <f t="shared" si="46"/>
        <v>Hugo Correia</v>
      </c>
      <c r="K373" s="39">
        <f t="shared" si="47"/>
        <v>998</v>
      </c>
      <c r="L373" s="39">
        <f t="shared" si="48"/>
        <v>126310</v>
      </c>
      <c r="M373" s="40">
        <f t="shared" si="53"/>
        <v>33559</v>
      </c>
      <c r="N373" s="41" t="str">
        <f t="shared" ca="1" si="54"/>
        <v>Sénior</v>
      </c>
      <c r="O373" s="41" t="str">
        <f t="shared" si="49"/>
        <v>M</v>
      </c>
      <c r="P373" s="60" t="str">
        <f t="shared" si="50"/>
        <v>GDE</v>
      </c>
      <c r="Q373" s="61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3">
      <c r="A374" s="28">
        <v>1025</v>
      </c>
      <c r="B374" s="28">
        <v>142860</v>
      </c>
      <c r="C374" s="129" t="s">
        <v>1649</v>
      </c>
      <c r="D374" s="128" t="s">
        <v>1654</v>
      </c>
      <c r="E374" s="128" t="s">
        <v>145</v>
      </c>
      <c r="F374" s="29">
        <v>29473</v>
      </c>
      <c r="G374" s="56" t="str">
        <f t="shared" ca="1" si="51"/>
        <v>V 40</v>
      </c>
      <c r="H374" s="28">
        <f t="shared" ca="1" si="52"/>
        <v>40</v>
      </c>
      <c r="J374" s="38" t="str">
        <f t="shared" si="46"/>
        <v>Arlindo Carvalho</v>
      </c>
      <c r="K374" s="39">
        <f t="shared" si="47"/>
        <v>1025</v>
      </c>
      <c r="L374" s="39">
        <f t="shared" si="48"/>
        <v>142860</v>
      </c>
      <c r="M374" s="40">
        <f t="shared" si="53"/>
        <v>29473</v>
      </c>
      <c r="N374" s="41" t="str">
        <f t="shared" ca="1" si="54"/>
        <v>V 40</v>
      </c>
      <c r="O374" s="41" t="str">
        <f t="shared" si="49"/>
        <v>M</v>
      </c>
      <c r="P374" s="60" t="str">
        <f t="shared" si="50"/>
        <v>ECFC</v>
      </c>
      <c r="Q374" s="61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3">
      <c r="A375" s="28">
        <v>1024</v>
      </c>
      <c r="B375" s="28">
        <v>135918</v>
      </c>
      <c r="C375" s="129" t="s">
        <v>1648</v>
      </c>
      <c r="D375" s="128" t="s">
        <v>1654</v>
      </c>
      <c r="E375" s="128" t="s">
        <v>145</v>
      </c>
      <c r="F375" s="29">
        <v>28699</v>
      </c>
      <c r="G375" s="56" t="str">
        <f t="shared" ca="1" si="51"/>
        <v>V 40</v>
      </c>
      <c r="H375" s="28">
        <f t="shared" ca="1" si="52"/>
        <v>42</v>
      </c>
      <c r="J375" s="38" t="str">
        <f t="shared" si="46"/>
        <v>Marco G. Pereira</v>
      </c>
      <c r="K375" s="39">
        <f t="shared" si="47"/>
        <v>1024</v>
      </c>
      <c r="L375" s="39">
        <f t="shared" si="48"/>
        <v>135918</v>
      </c>
      <c r="M375" s="40">
        <f t="shared" si="53"/>
        <v>28699</v>
      </c>
      <c r="N375" s="41" t="str">
        <f t="shared" ca="1" si="54"/>
        <v>V 40</v>
      </c>
      <c r="O375" s="41" t="str">
        <f t="shared" si="49"/>
        <v>M</v>
      </c>
      <c r="P375" s="60" t="str">
        <f t="shared" si="50"/>
        <v>ECFC</v>
      </c>
      <c r="Q375" s="61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3">
      <c r="A376" s="28">
        <v>1028</v>
      </c>
      <c r="B376" s="28">
        <v>157812</v>
      </c>
      <c r="C376" s="129" t="s">
        <v>1647</v>
      </c>
      <c r="D376" s="128" t="s">
        <v>1654</v>
      </c>
      <c r="E376" s="128" t="s">
        <v>145</v>
      </c>
      <c r="F376" s="29">
        <v>35387</v>
      </c>
      <c r="G376" s="56" t="str">
        <f t="shared" ca="1" si="51"/>
        <v>Sénior</v>
      </c>
      <c r="H376" s="28">
        <f t="shared" ca="1" si="52"/>
        <v>24</v>
      </c>
      <c r="J376" s="38" t="str">
        <f t="shared" si="46"/>
        <v>Jorge M. Gonçalves</v>
      </c>
      <c r="K376" s="39">
        <f t="shared" si="47"/>
        <v>1028</v>
      </c>
      <c r="L376" s="39">
        <f t="shared" si="48"/>
        <v>157812</v>
      </c>
      <c r="M376" s="40">
        <f t="shared" si="53"/>
        <v>35387</v>
      </c>
      <c r="N376" s="41" t="str">
        <f t="shared" ca="1" si="54"/>
        <v>Sénior</v>
      </c>
      <c r="O376" s="41" t="str">
        <f t="shared" si="49"/>
        <v>M</v>
      </c>
      <c r="P376" s="60" t="str">
        <f t="shared" si="50"/>
        <v>ECFC</v>
      </c>
      <c r="Q376" s="61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3">
      <c r="A377" s="28">
        <v>1161</v>
      </c>
      <c r="B377" s="28">
        <v>139954</v>
      </c>
      <c r="C377" s="129" t="s">
        <v>1011</v>
      </c>
      <c r="D377" s="128" t="s">
        <v>1069</v>
      </c>
      <c r="E377" s="128" t="s">
        <v>145</v>
      </c>
      <c r="F377" s="29">
        <v>23731</v>
      </c>
      <c r="G377" s="56" t="str">
        <f t="shared" ca="1" si="51"/>
        <v>V 55</v>
      </c>
      <c r="H377" s="28">
        <f t="shared" ca="1" si="52"/>
        <v>56</v>
      </c>
      <c r="J377" s="38" t="str">
        <f t="shared" si="46"/>
        <v>Alcino Basílio</v>
      </c>
      <c r="K377" s="39">
        <f t="shared" si="47"/>
        <v>1161</v>
      </c>
      <c r="L377" s="39">
        <f t="shared" si="48"/>
        <v>139954</v>
      </c>
      <c r="M377" s="40">
        <f t="shared" si="53"/>
        <v>23731</v>
      </c>
      <c r="N377" s="41" t="str">
        <f t="shared" ca="1" si="54"/>
        <v>V 55</v>
      </c>
      <c r="O377" s="41" t="str">
        <f t="shared" si="49"/>
        <v>M</v>
      </c>
      <c r="P377" s="60" t="str">
        <f t="shared" si="50"/>
        <v>CEOL</v>
      </c>
      <c r="Q377" s="61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3">
      <c r="A378" s="28">
        <v>26</v>
      </c>
      <c r="B378" s="28">
        <v>129622</v>
      </c>
      <c r="C378" s="129" t="s">
        <v>1589</v>
      </c>
      <c r="D378" s="128" t="s">
        <v>97</v>
      </c>
      <c r="E378" s="128" t="s">
        <v>146</v>
      </c>
      <c r="F378" s="29">
        <v>36248</v>
      </c>
      <c r="G378" s="56" t="str">
        <f t="shared" ca="1" si="51"/>
        <v>sub 23</v>
      </c>
      <c r="H378" s="28">
        <f t="shared" ca="1" si="52"/>
        <v>22</v>
      </c>
      <c r="J378" s="38" t="str">
        <f t="shared" si="46"/>
        <v>Maria Carvalho</v>
      </c>
      <c r="K378" s="39">
        <f t="shared" si="47"/>
        <v>26</v>
      </c>
      <c r="L378" s="39">
        <f t="shared" si="48"/>
        <v>129622</v>
      </c>
      <c r="M378" s="40">
        <f t="shared" si="53"/>
        <v>36248</v>
      </c>
      <c r="N378" s="41" t="str">
        <f t="shared" ca="1" si="54"/>
        <v>sub 23</v>
      </c>
      <c r="O378" s="41" t="str">
        <f t="shared" si="49"/>
        <v>F</v>
      </c>
      <c r="P378" s="60" t="str">
        <f t="shared" si="50"/>
        <v>ADRAP</v>
      </c>
      <c r="Q378" s="61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3">
      <c r="A379" s="28">
        <v>21</v>
      </c>
      <c r="B379" s="28">
        <v>131984</v>
      </c>
      <c r="C379" s="129" t="s">
        <v>1590</v>
      </c>
      <c r="D379" s="128" t="s">
        <v>97</v>
      </c>
      <c r="E379" s="128" t="s">
        <v>146</v>
      </c>
      <c r="F379" s="29">
        <v>36049</v>
      </c>
      <c r="G379" s="56" t="str">
        <f t="shared" ca="1" si="51"/>
        <v>Sénior</v>
      </c>
      <c r="H379" s="28">
        <f t="shared" ca="1" si="52"/>
        <v>22</v>
      </c>
      <c r="J379" s="38" t="str">
        <f t="shared" si="46"/>
        <v>Rafaela Hora</v>
      </c>
      <c r="K379" s="39">
        <f t="shared" si="47"/>
        <v>21</v>
      </c>
      <c r="L379" s="39">
        <f t="shared" si="48"/>
        <v>131984</v>
      </c>
      <c r="M379" s="40">
        <f t="shared" si="53"/>
        <v>36049</v>
      </c>
      <c r="N379" s="41" t="str">
        <f t="shared" ca="1" si="54"/>
        <v>Sénior</v>
      </c>
      <c r="O379" s="41" t="str">
        <f t="shared" si="49"/>
        <v>F</v>
      </c>
      <c r="P379" s="60" t="str">
        <f t="shared" si="50"/>
        <v>ADRAP</v>
      </c>
      <c r="Q379" s="61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3">
      <c r="A380" s="28">
        <v>1027</v>
      </c>
      <c r="B380" s="28">
        <v>130344</v>
      </c>
      <c r="C380" s="129" t="s">
        <v>1650</v>
      </c>
      <c r="D380" s="128" t="s">
        <v>1654</v>
      </c>
      <c r="E380" s="128" t="s">
        <v>145</v>
      </c>
      <c r="F380" s="29">
        <v>29942</v>
      </c>
      <c r="G380" s="56" t="str">
        <f t="shared" ca="1" si="51"/>
        <v>V 35</v>
      </c>
      <c r="H380" s="28">
        <f t="shared" ca="1" si="52"/>
        <v>39</v>
      </c>
      <c r="J380" s="38" t="str">
        <f t="shared" si="46"/>
        <v>José M. Teixeira</v>
      </c>
      <c r="K380" s="39">
        <f t="shared" si="47"/>
        <v>1027</v>
      </c>
      <c r="L380" s="39">
        <f t="shared" si="48"/>
        <v>130344</v>
      </c>
      <c r="M380" s="40">
        <f t="shared" si="53"/>
        <v>29942</v>
      </c>
      <c r="N380" s="41" t="str">
        <f t="shared" ca="1" si="54"/>
        <v>V 35</v>
      </c>
      <c r="O380" s="41" t="str">
        <f t="shared" si="49"/>
        <v>M</v>
      </c>
      <c r="P380" s="60" t="str">
        <f t="shared" si="50"/>
        <v>ECFC</v>
      </c>
      <c r="Q380" s="61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3">
      <c r="A381" s="28">
        <v>32</v>
      </c>
      <c r="B381" s="28">
        <v>127902</v>
      </c>
      <c r="C381" s="129" t="s">
        <v>754</v>
      </c>
      <c r="D381" s="128" t="s">
        <v>97</v>
      </c>
      <c r="E381" s="128" t="s">
        <v>146</v>
      </c>
      <c r="F381" s="29">
        <v>23249</v>
      </c>
      <c r="G381" s="56" t="str">
        <f t="shared" ca="1" si="51"/>
        <v>V 55</v>
      </c>
      <c r="H381" s="28">
        <f t="shared" ca="1" si="52"/>
        <v>57</v>
      </c>
      <c r="J381" s="38" t="str">
        <f t="shared" si="46"/>
        <v>Zita Jesus</v>
      </c>
      <c r="K381" s="39">
        <f t="shared" si="47"/>
        <v>32</v>
      </c>
      <c r="L381" s="39">
        <f t="shared" si="48"/>
        <v>127902</v>
      </c>
      <c r="M381" s="40">
        <f t="shared" si="53"/>
        <v>23249</v>
      </c>
      <c r="N381" s="41" t="str">
        <f t="shared" ca="1" si="54"/>
        <v>V 55</v>
      </c>
      <c r="O381" s="41" t="str">
        <f t="shared" si="49"/>
        <v>F</v>
      </c>
      <c r="P381" s="60" t="str">
        <f t="shared" si="50"/>
        <v>ADRAP</v>
      </c>
      <c r="Q381" s="6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3">
      <c r="A382" s="28">
        <v>1022</v>
      </c>
      <c r="B382" s="28">
        <v>157815</v>
      </c>
      <c r="C382" s="129" t="s">
        <v>1651</v>
      </c>
      <c r="D382" s="128" t="s">
        <v>1654</v>
      </c>
      <c r="E382" s="128" t="s">
        <v>145</v>
      </c>
      <c r="F382" s="29">
        <v>26523</v>
      </c>
      <c r="G382" s="56" t="str">
        <f t="shared" ca="1" si="51"/>
        <v>V 45</v>
      </c>
      <c r="H382" s="28">
        <f t="shared" ca="1" si="52"/>
        <v>48</v>
      </c>
      <c r="J382" s="38" t="str">
        <f t="shared" si="46"/>
        <v>José Barbosa</v>
      </c>
      <c r="K382" s="39">
        <f t="shared" si="47"/>
        <v>1022</v>
      </c>
      <c r="L382" s="39">
        <f t="shared" si="48"/>
        <v>157815</v>
      </c>
      <c r="M382" s="40">
        <f t="shared" si="53"/>
        <v>26523</v>
      </c>
      <c r="N382" s="41" t="str">
        <f t="shared" ca="1" si="54"/>
        <v>V 45</v>
      </c>
      <c r="O382" s="41" t="str">
        <f t="shared" si="49"/>
        <v>M</v>
      </c>
      <c r="P382" s="60" t="str">
        <f t="shared" si="50"/>
        <v>ECFC</v>
      </c>
      <c r="Q382" s="61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3">
      <c r="A383" s="28">
        <v>1026</v>
      </c>
      <c r="B383" s="28">
        <v>163299</v>
      </c>
      <c r="C383" s="129" t="s">
        <v>1652</v>
      </c>
      <c r="D383" s="128" t="s">
        <v>1654</v>
      </c>
      <c r="E383" s="128" t="s">
        <v>145</v>
      </c>
      <c r="F383" s="29">
        <v>31189</v>
      </c>
      <c r="G383" s="56" t="str">
        <f t="shared" ca="1" si="51"/>
        <v>V 35</v>
      </c>
      <c r="H383" s="28">
        <f t="shared" ca="1" si="52"/>
        <v>35</v>
      </c>
      <c r="J383" s="38" t="str">
        <f t="shared" si="46"/>
        <v>Pedro Perregil</v>
      </c>
      <c r="K383" s="39">
        <f t="shared" si="47"/>
        <v>1026</v>
      </c>
      <c r="L383" s="39">
        <f t="shared" si="48"/>
        <v>163299</v>
      </c>
      <c r="M383" s="40">
        <f t="shared" si="53"/>
        <v>31189</v>
      </c>
      <c r="N383" s="41" t="str">
        <f t="shared" ca="1" si="54"/>
        <v>V 35</v>
      </c>
      <c r="O383" s="41" t="str">
        <f t="shared" si="49"/>
        <v>M</v>
      </c>
      <c r="P383" s="60" t="str">
        <f t="shared" si="50"/>
        <v>ECFC</v>
      </c>
      <c r="Q383" s="61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3">
      <c r="A384" s="28">
        <v>1023</v>
      </c>
      <c r="B384" s="28">
        <v>163300</v>
      </c>
      <c r="C384" s="129" t="s">
        <v>1653</v>
      </c>
      <c r="D384" s="128" t="s">
        <v>1654</v>
      </c>
      <c r="E384" s="128" t="s">
        <v>145</v>
      </c>
      <c r="F384" s="29">
        <v>29151</v>
      </c>
      <c r="G384" s="56" t="str">
        <f t="shared" ca="1" si="51"/>
        <v>V 40</v>
      </c>
      <c r="H384" s="28">
        <f t="shared" ca="1" si="52"/>
        <v>41</v>
      </c>
      <c r="J384" s="38" t="str">
        <f t="shared" si="46"/>
        <v>Manuel N. Fernandes</v>
      </c>
      <c r="K384" s="39">
        <f t="shared" si="47"/>
        <v>1023</v>
      </c>
      <c r="L384" s="39">
        <f t="shared" si="48"/>
        <v>163300</v>
      </c>
      <c r="M384" s="40">
        <f t="shared" si="53"/>
        <v>29151</v>
      </c>
      <c r="N384" s="41" t="str">
        <f t="shared" ca="1" si="54"/>
        <v>V 40</v>
      </c>
      <c r="O384" s="41" t="str">
        <f t="shared" si="49"/>
        <v>M</v>
      </c>
      <c r="P384" s="60" t="str">
        <f t="shared" si="50"/>
        <v>ECFC</v>
      </c>
      <c r="Q384" s="61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3">
      <c r="A385" s="28">
        <v>967</v>
      </c>
      <c r="B385" s="28">
        <v>163257</v>
      </c>
      <c r="C385" s="129" t="s">
        <v>1495</v>
      </c>
      <c r="D385" s="128" t="s">
        <v>148</v>
      </c>
      <c r="E385" s="128" t="s">
        <v>145</v>
      </c>
      <c r="F385" s="29">
        <v>27487</v>
      </c>
      <c r="G385" s="56" t="str">
        <f t="shared" ca="1" si="51"/>
        <v>V 45</v>
      </c>
      <c r="H385" s="28">
        <f t="shared" ca="1" si="52"/>
        <v>46</v>
      </c>
      <c r="J385" s="38" t="str">
        <f t="shared" si="46"/>
        <v>Rogério Franco</v>
      </c>
      <c r="K385" s="39">
        <f t="shared" si="47"/>
        <v>967</v>
      </c>
      <c r="L385" s="39">
        <f t="shared" si="48"/>
        <v>163257</v>
      </c>
      <c r="M385" s="40">
        <f t="shared" si="53"/>
        <v>27487</v>
      </c>
      <c r="N385" s="41" t="str">
        <f t="shared" ca="1" si="54"/>
        <v>V 45</v>
      </c>
      <c r="O385" s="41" t="str">
        <f t="shared" si="49"/>
        <v>M</v>
      </c>
      <c r="P385" s="60" t="str">
        <f t="shared" si="50"/>
        <v>IND-M</v>
      </c>
      <c r="Q385" s="61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3">
      <c r="A386" s="28">
        <v>983</v>
      </c>
      <c r="B386" s="28">
        <v>125840</v>
      </c>
      <c r="C386" s="129" t="s">
        <v>320</v>
      </c>
      <c r="D386" s="128" t="s">
        <v>1241</v>
      </c>
      <c r="E386" s="128" t="s">
        <v>145</v>
      </c>
      <c r="F386" s="29">
        <v>31265</v>
      </c>
      <c r="G386" s="56" t="str">
        <f t="shared" ca="1" si="51"/>
        <v>V 35</v>
      </c>
      <c r="H386" s="28">
        <f t="shared" ca="1" si="52"/>
        <v>35</v>
      </c>
      <c r="J386" s="38" t="str">
        <f t="shared" ref="J386:J449" si="55">C386</f>
        <v>Telmo Pão</v>
      </c>
      <c r="K386" s="39">
        <f t="shared" ref="K386:K449" si="56">A386</f>
        <v>983</v>
      </c>
      <c r="L386" s="39">
        <f t="shared" ref="L386:L449" si="57">B386</f>
        <v>125840</v>
      </c>
      <c r="M386" s="40">
        <f t="shared" si="53"/>
        <v>31265</v>
      </c>
      <c r="N386" s="41" t="str">
        <f t="shared" ca="1" si="54"/>
        <v>V 35</v>
      </c>
      <c r="O386" s="41" t="str">
        <f t="shared" ref="O386:O449" si="58">E386</f>
        <v>M</v>
      </c>
      <c r="P386" s="60" t="str">
        <f t="shared" ref="P386:P449" si="59">D386</f>
        <v>GRCC</v>
      </c>
      <c r="Q386" s="61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3">
      <c r="A387" s="28">
        <v>981</v>
      </c>
      <c r="B387" s="28">
        <v>130371</v>
      </c>
      <c r="C387" s="129" t="s">
        <v>497</v>
      </c>
      <c r="D387" s="128" t="s">
        <v>1241</v>
      </c>
      <c r="E387" s="128" t="s">
        <v>145</v>
      </c>
      <c r="F387" s="29">
        <v>28021</v>
      </c>
      <c r="G387" s="5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B",IF(YEAR(TODAY())-YEAR(F387)&lt;14,"Infantil",IF(YEAR(TODAY())-YEAR(F387)&lt;16,"Iniciado",IF(YEAR(TODAY())-YEAR(F387)&lt;18,"Juvenil",IF(YEAR(TODAY())-YEAR(F387)&lt;20,"Júnior",IF(YEAR(TODAY())-YEAR(F387)&lt;23,"sub 23",IF(ROUNDDOWN(INT(TODAY()-F387)/365.25,0)&lt;35,"Sénior",IF(ROUNDDOWN(INT(TODAY()-F387)/365.25,0)&lt;40,"V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65",IF(ROUNDDOWN(INT(TODAY()-F387)/365.25,0)&lt;75,"V 70",IF(ROUNDDOWN(INT(TODAY()-F387)/365.25,0)&lt;80,"V 75",IF(ROUNDDOWN(INT(TODAY()-F387)/365.25,0)&lt;85,"V 80",IF(ROUNDDOWN(INT(TODAY()-F387)/365.25,0)&lt;90,"V 85",IF(ROUNDDOWN(INT(TODAY()-F387)/365.25,0)&lt;95,"V 90",IF(ROUNDDOWN(INT(TODAY()-F387)/365.25,0)&lt;100,"V 95",IF(ROUNDDOWN(INT(TODAY()-F387)/365.25,0)&gt;=100,"V 100",""))))))))))))))))))))))),"")</f>
        <v>V 40</v>
      </c>
      <c r="H387" s="28">
        <f t="shared" ref="H387:H450" ca="1" si="61">IFERROR(IF($A387&gt;0,ROUNDDOWN(INT(TODAY()-F387)/365.25,0),""),"")</f>
        <v>44</v>
      </c>
      <c r="J387" s="38" t="str">
        <f t="shared" si="55"/>
        <v>Nuno Castanha</v>
      </c>
      <c r="K387" s="39">
        <f t="shared" si="56"/>
        <v>981</v>
      </c>
      <c r="L387" s="39">
        <f t="shared" si="57"/>
        <v>130371</v>
      </c>
      <c r="M387" s="40">
        <f t="shared" ref="M387:M450" si="62">F387</f>
        <v>28021</v>
      </c>
      <c r="N387" s="41" t="str">
        <f t="shared" ref="N387:N450" ca="1" si="63">G387</f>
        <v>V 40</v>
      </c>
      <c r="O387" s="41" t="str">
        <f t="shared" si="58"/>
        <v>M</v>
      </c>
      <c r="P387" s="60" t="str">
        <f t="shared" si="59"/>
        <v>GRCC</v>
      </c>
      <c r="Q387" s="61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3">
      <c r="A388" s="28">
        <v>978</v>
      </c>
      <c r="B388" s="28">
        <v>126111</v>
      </c>
      <c r="C388" s="129" t="s">
        <v>93</v>
      </c>
      <c r="D388" s="128" t="s">
        <v>1241</v>
      </c>
      <c r="E388" s="128" t="s">
        <v>145</v>
      </c>
      <c r="F388" s="29">
        <v>26579</v>
      </c>
      <c r="G388" s="56" t="str">
        <f t="shared" ca="1" si="60"/>
        <v>V 45</v>
      </c>
      <c r="H388" s="28">
        <f t="shared" ca="1" si="61"/>
        <v>48</v>
      </c>
      <c r="J388" s="38" t="str">
        <f t="shared" si="55"/>
        <v>Duarte Coelho</v>
      </c>
      <c r="K388" s="39">
        <f t="shared" si="56"/>
        <v>978</v>
      </c>
      <c r="L388" s="39">
        <f t="shared" si="57"/>
        <v>126111</v>
      </c>
      <c r="M388" s="40">
        <f t="shared" si="62"/>
        <v>26579</v>
      </c>
      <c r="N388" s="41" t="str">
        <f t="shared" ca="1" si="63"/>
        <v>V 45</v>
      </c>
      <c r="O388" s="41" t="str">
        <f t="shared" si="58"/>
        <v>M</v>
      </c>
      <c r="P388" s="60" t="str">
        <f t="shared" si="59"/>
        <v>GRCC</v>
      </c>
      <c r="Q388" s="61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3">
      <c r="A389" s="28">
        <v>237</v>
      </c>
      <c r="B389" s="28">
        <v>139332</v>
      </c>
      <c r="C389" s="129" t="s">
        <v>465</v>
      </c>
      <c r="D389" s="128" t="s">
        <v>1241</v>
      </c>
      <c r="E389" s="128" t="s">
        <v>146</v>
      </c>
      <c r="F389" s="29">
        <v>26590</v>
      </c>
      <c r="G389" s="56" t="str">
        <f t="shared" ca="1" si="60"/>
        <v>V 45</v>
      </c>
      <c r="H389" s="28">
        <f t="shared" ca="1" si="61"/>
        <v>48</v>
      </c>
      <c r="J389" s="38" t="str">
        <f t="shared" si="55"/>
        <v>Teresa Coelho</v>
      </c>
      <c r="K389" s="39">
        <f t="shared" si="56"/>
        <v>237</v>
      </c>
      <c r="L389" s="39">
        <f t="shared" si="57"/>
        <v>139332</v>
      </c>
      <c r="M389" s="40">
        <f t="shared" si="62"/>
        <v>26590</v>
      </c>
      <c r="N389" s="41" t="str">
        <f t="shared" ca="1" si="63"/>
        <v>V 45</v>
      </c>
      <c r="O389" s="41" t="str">
        <f t="shared" si="58"/>
        <v>F</v>
      </c>
      <c r="P389" s="60" t="str">
        <f t="shared" si="59"/>
        <v>GRCC</v>
      </c>
      <c r="Q389" s="61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3">
      <c r="A390" s="28">
        <v>233</v>
      </c>
      <c r="B390" s="28">
        <v>152713</v>
      </c>
      <c r="C390" s="129" t="s">
        <v>819</v>
      </c>
      <c r="D390" s="128" t="s">
        <v>1241</v>
      </c>
      <c r="E390" s="128" t="s">
        <v>146</v>
      </c>
      <c r="F390" s="29">
        <v>28571</v>
      </c>
      <c r="G390" s="56" t="str">
        <f t="shared" ca="1" si="60"/>
        <v>V 40</v>
      </c>
      <c r="H390" s="28">
        <f t="shared" ca="1" si="61"/>
        <v>43</v>
      </c>
      <c r="J390" s="38" t="str">
        <f t="shared" si="55"/>
        <v>Cristina Jesus</v>
      </c>
      <c r="K390" s="39">
        <f t="shared" si="56"/>
        <v>233</v>
      </c>
      <c r="L390" s="39">
        <f t="shared" si="57"/>
        <v>152713</v>
      </c>
      <c r="M390" s="40">
        <f t="shared" si="62"/>
        <v>28571</v>
      </c>
      <c r="N390" s="41" t="str">
        <f t="shared" ca="1" si="63"/>
        <v>V 40</v>
      </c>
      <c r="O390" s="41" t="str">
        <f t="shared" si="58"/>
        <v>F</v>
      </c>
      <c r="P390" s="60" t="str">
        <f t="shared" si="59"/>
        <v>GRCC</v>
      </c>
      <c r="Q390" s="61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3">
      <c r="A391" s="28">
        <v>238</v>
      </c>
      <c r="B391" s="28">
        <v>124865</v>
      </c>
      <c r="C391" s="129" t="s">
        <v>392</v>
      </c>
      <c r="D391" s="128" t="s">
        <v>1241</v>
      </c>
      <c r="E391" s="128" t="s">
        <v>146</v>
      </c>
      <c r="F391" s="29">
        <v>25949</v>
      </c>
      <c r="G391" s="56" t="str">
        <f t="shared" ca="1" si="60"/>
        <v>V 50</v>
      </c>
      <c r="H391" s="28">
        <f t="shared" ca="1" si="61"/>
        <v>50</v>
      </c>
      <c r="J391" s="38" t="str">
        <f t="shared" si="55"/>
        <v>Cristina Martins</v>
      </c>
      <c r="K391" s="39">
        <f t="shared" si="56"/>
        <v>238</v>
      </c>
      <c r="L391" s="39">
        <f t="shared" si="57"/>
        <v>124865</v>
      </c>
      <c r="M391" s="40">
        <f t="shared" si="62"/>
        <v>25949</v>
      </c>
      <c r="N391" s="41" t="str">
        <f t="shared" ca="1" si="63"/>
        <v>V 50</v>
      </c>
      <c r="O391" s="41" t="str">
        <f t="shared" si="58"/>
        <v>F</v>
      </c>
      <c r="P391" s="60" t="str">
        <f t="shared" si="59"/>
        <v>GRCC</v>
      </c>
      <c r="Q391" s="6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3">
      <c r="A392" s="28">
        <v>1778</v>
      </c>
      <c r="B392" s="28">
        <v>158540</v>
      </c>
      <c r="C392" s="129" t="s">
        <v>1225</v>
      </c>
      <c r="D392" s="128" t="s">
        <v>1241</v>
      </c>
      <c r="E392" s="128" t="s">
        <v>146</v>
      </c>
      <c r="F392" s="29">
        <v>38877</v>
      </c>
      <c r="G392" s="56" t="str">
        <f t="shared" ca="1" si="60"/>
        <v>Iniciado</v>
      </c>
      <c r="H392" s="28">
        <f t="shared" ca="1" si="61"/>
        <v>14</v>
      </c>
      <c r="J392" s="38" t="str">
        <f t="shared" si="55"/>
        <v>Júlia Martins</v>
      </c>
      <c r="K392" s="39">
        <f t="shared" si="56"/>
        <v>1778</v>
      </c>
      <c r="L392" s="39">
        <f t="shared" si="57"/>
        <v>158540</v>
      </c>
      <c r="M392" s="40">
        <f t="shared" si="62"/>
        <v>38877</v>
      </c>
      <c r="N392" s="41" t="str">
        <f t="shared" ca="1" si="63"/>
        <v>Iniciado</v>
      </c>
      <c r="O392" s="41" t="str">
        <f t="shared" si="58"/>
        <v>F</v>
      </c>
      <c r="P392" s="60" t="str">
        <f t="shared" si="59"/>
        <v>GRCC</v>
      </c>
      <c r="Q392" s="61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3">
      <c r="A393" s="28">
        <v>977</v>
      </c>
      <c r="B393" s="28">
        <v>149310</v>
      </c>
      <c r="C393" s="129" t="s">
        <v>1525</v>
      </c>
      <c r="D393" s="128" t="s">
        <v>1241</v>
      </c>
      <c r="E393" s="128" t="s">
        <v>145</v>
      </c>
      <c r="F393" s="29">
        <v>25087</v>
      </c>
      <c r="G393" s="56" t="str">
        <f t="shared" ca="1" si="60"/>
        <v>V 50</v>
      </c>
      <c r="H393" s="28">
        <f t="shared" ca="1" si="61"/>
        <v>52</v>
      </c>
      <c r="J393" s="38" t="str">
        <f t="shared" si="55"/>
        <v>Humberto A. Rodrigues</v>
      </c>
      <c r="K393" s="39">
        <f t="shared" si="56"/>
        <v>977</v>
      </c>
      <c r="L393" s="39">
        <f t="shared" si="57"/>
        <v>149310</v>
      </c>
      <c r="M393" s="40">
        <f t="shared" si="62"/>
        <v>25087</v>
      </c>
      <c r="N393" s="41" t="str">
        <f t="shared" ca="1" si="63"/>
        <v>V 50</v>
      </c>
      <c r="O393" s="41" t="str">
        <f t="shared" si="58"/>
        <v>M</v>
      </c>
      <c r="P393" s="60" t="str">
        <f t="shared" si="59"/>
        <v>GRCC</v>
      </c>
      <c r="Q393" s="61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3">
      <c r="A394" s="28">
        <v>1712</v>
      </c>
      <c r="B394" s="28">
        <v>161015</v>
      </c>
      <c r="C394" s="129" t="s">
        <v>1381</v>
      </c>
      <c r="D394" s="128" t="s">
        <v>1241</v>
      </c>
      <c r="E394" s="128" t="s">
        <v>145</v>
      </c>
      <c r="F394" s="29">
        <v>37423</v>
      </c>
      <c r="G394" s="56" t="str">
        <f t="shared" ca="1" si="60"/>
        <v>Júnior</v>
      </c>
      <c r="H394" s="28">
        <f t="shared" ca="1" si="61"/>
        <v>18</v>
      </c>
      <c r="J394" s="38" t="str">
        <f t="shared" si="55"/>
        <v>Hélder Sousa</v>
      </c>
      <c r="K394" s="39">
        <f t="shared" si="56"/>
        <v>1712</v>
      </c>
      <c r="L394" s="39">
        <f t="shared" si="57"/>
        <v>161015</v>
      </c>
      <c r="M394" s="40">
        <f t="shared" si="62"/>
        <v>37423</v>
      </c>
      <c r="N394" s="41" t="str">
        <f t="shared" ca="1" si="63"/>
        <v>Júnior</v>
      </c>
      <c r="O394" s="41" t="str">
        <f t="shared" si="58"/>
        <v>M</v>
      </c>
      <c r="P394" s="60" t="str">
        <f t="shared" si="59"/>
        <v>GRCC</v>
      </c>
      <c r="Q394" s="61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3">
      <c r="A395" s="28">
        <v>231</v>
      </c>
      <c r="B395" s="28">
        <v>158762</v>
      </c>
      <c r="C395" s="129" t="s">
        <v>1221</v>
      </c>
      <c r="D395" s="128" t="s">
        <v>1241</v>
      </c>
      <c r="E395" s="128" t="s">
        <v>146</v>
      </c>
      <c r="F395" s="29">
        <v>30801</v>
      </c>
      <c r="G395" s="56" t="str">
        <f t="shared" ca="1" si="60"/>
        <v>V 35</v>
      </c>
      <c r="H395" s="28">
        <f t="shared" ca="1" si="61"/>
        <v>36</v>
      </c>
      <c r="J395" s="38" t="str">
        <f t="shared" si="55"/>
        <v>Elisabete Jesus</v>
      </c>
      <c r="K395" s="39">
        <f t="shared" si="56"/>
        <v>231</v>
      </c>
      <c r="L395" s="39">
        <f t="shared" si="57"/>
        <v>158762</v>
      </c>
      <c r="M395" s="40">
        <f t="shared" si="62"/>
        <v>30801</v>
      </c>
      <c r="N395" s="41" t="str">
        <f t="shared" ca="1" si="63"/>
        <v>V 35</v>
      </c>
      <c r="O395" s="41" t="str">
        <f t="shared" si="58"/>
        <v>F</v>
      </c>
      <c r="P395" s="60" t="str">
        <f t="shared" si="59"/>
        <v>GRCC</v>
      </c>
      <c r="Q395" s="61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3">
      <c r="A396" s="28">
        <v>1710</v>
      </c>
      <c r="B396" s="28">
        <v>162592</v>
      </c>
      <c r="C396" s="129" t="s">
        <v>1526</v>
      </c>
      <c r="D396" s="128" t="s">
        <v>1241</v>
      </c>
      <c r="E396" s="128" t="s">
        <v>145</v>
      </c>
      <c r="F396" s="29">
        <v>38280</v>
      </c>
      <c r="G396" s="56" t="str">
        <f t="shared" ca="1" si="60"/>
        <v>Juvenil</v>
      </c>
      <c r="H396" s="28">
        <f t="shared" ca="1" si="61"/>
        <v>16</v>
      </c>
      <c r="J396" s="38" t="str">
        <f t="shared" si="55"/>
        <v>Rodrigo Rodrigues</v>
      </c>
      <c r="K396" s="39">
        <f t="shared" si="56"/>
        <v>1710</v>
      </c>
      <c r="L396" s="39">
        <f t="shared" si="57"/>
        <v>162592</v>
      </c>
      <c r="M396" s="40">
        <f t="shared" si="62"/>
        <v>38280</v>
      </c>
      <c r="N396" s="41" t="str">
        <f t="shared" ca="1" si="63"/>
        <v>Juvenil</v>
      </c>
      <c r="O396" s="41" t="str">
        <f t="shared" si="58"/>
        <v>M</v>
      </c>
      <c r="P396" s="60" t="str">
        <f t="shared" si="59"/>
        <v>GRCC</v>
      </c>
      <c r="Q396" s="61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3">
      <c r="A397" s="28">
        <v>1016</v>
      </c>
      <c r="B397" s="28">
        <v>127818</v>
      </c>
      <c r="C397" s="129" t="s">
        <v>1488</v>
      </c>
      <c r="D397" s="128" t="s">
        <v>1240</v>
      </c>
      <c r="E397" s="128" t="s">
        <v>145</v>
      </c>
      <c r="F397" s="29">
        <v>30534</v>
      </c>
      <c r="G397" s="56" t="str">
        <f t="shared" ca="1" si="60"/>
        <v>V 35</v>
      </c>
      <c r="H397" s="28">
        <f t="shared" ca="1" si="61"/>
        <v>37</v>
      </c>
      <c r="J397" s="38" t="str">
        <f t="shared" si="55"/>
        <v>Duarte Martins</v>
      </c>
      <c r="K397" s="39">
        <f t="shared" si="56"/>
        <v>1016</v>
      </c>
      <c r="L397" s="39">
        <f t="shared" si="57"/>
        <v>127818</v>
      </c>
      <c r="M397" s="40">
        <f t="shared" si="62"/>
        <v>30534</v>
      </c>
      <c r="N397" s="41" t="str">
        <f t="shared" ca="1" si="63"/>
        <v>V 35</v>
      </c>
      <c r="O397" s="41" t="str">
        <f t="shared" si="58"/>
        <v>M</v>
      </c>
      <c r="P397" s="60" t="str">
        <f t="shared" si="59"/>
        <v>GDC-M</v>
      </c>
      <c r="Q397" s="61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3">
      <c r="A398" s="28">
        <v>1574</v>
      </c>
      <c r="B398" s="28">
        <v>141356</v>
      </c>
      <c r="C398" s="129" t="s">
        <v>677</v>
      </c>
      <c r="D398" s="128" t="s">
        <v>1240</v>
      </c>
      <c r="E398" s="128" t="s">
        <v>146</v>
      </c>
      <c r="F398" s="29">
        <v>38539</v>
      </c>
      <c r="G398" s="56" t="str">
        <f t="shared" ca="1" si="60"/>
        <v>Juvenil</v>
      </c>
      <c r="H398" s="28">
        <f t="shared" ca="1" si="61"/>
        <v>15</v>
      </c>
      <c r="J398" s="38" t="str">
        <f t="shared" si="55"/>
        <v>Ana Correia</v>
      </c>
      <c r="K398" s="39">
        <f t="shared" si="56"/>
        <v>1574</v>
      </c>
      <c r="L398" s="39">
        <f t="shared" si="57"/>
        <v>141356</v>
      </c>
      <c r="M398" s="40">
        <f t="shared" si="62"/>
        <v>38539</v>
      </c>
      <c r="N398" s="41" t="str">
        <f t="shared" ca="1" si="63"/>
        <v>Juvenil</v>
      </c>
      <c r="O398" s="41" t="str">
        <f t="shared" si="58"/>
        <v>F</v>
      </c>
      <c r="P398" s="60" t="str">
        <f t="shared" si="59"/>
        <v>GDC-M</v>
      </c>
      <c r="Q398" s="61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3">
      <c r="A399" s="28">
        <v>1015</v>
      </c>
      <c r="B399" s="28">
        <v>139827</v>
      </c>
      <c r="C399" s="129" t="s">
        <v>696</v>
      </c>
      <c r="D399" s="128" t="s">
        <v>1240</v>
      </c>
      <c r="E399" s="128" t="s">
        <v>145</v>
      </c>
      <c r="F399" s="29">
        <v>29647</v>
      </c>
      <c r="G399" s="56" t="str">
        <f t="shared" ca="1" si="60"/>
        <v>V 40</v>
      </c>
      <c r="H399" s="28">
        <f t="shared" ca="1" si="61"/>
        <v>40</v>
      </c>
      <c r="J399" s="38" t="str">
        <f t="shared" si="55"/>
        <v>Daniel Vieira</v>
      </c>
      <c r="K399" s="39">
        <f t="shared" si="56"/>
        <v>1015</v>
      </c>
      <c r="L399" s="39">
        <f t="shared" si="57"/>
        <v>139827</v>
      </c>
      <c r="M399" s="40">
        <f t="shared" si="62"/>
        <v>29647</v>
      </c>
      <c r="N399" s="41" t="str">
        <f t="shared" ca="1" si="63"/>
        <v>V 40</v>
      </c>
      <c r="O399" s="41" t="str">
        <f t="shared" si="58"/>
        <v>M</v>
      </c>
      <c r="P399" s="60" t="str">
        <f t="shared" si="59"/>
        <v>GDC-M</v>
      </c>
      <c r="Q399" s="61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3">
      <c r="A400" s="28">
        <v>1004</v>
      </c>
      <c r="B400" s="28">
        <v>138938</v>
      </c>
      <c r="C400" s="129" t="s">
        <v>695</v>
      </c>
      <c r="D400" s="128" t="s">
        <v>1240</v>
      </c>
      <c r="E400" s="128" t="s">
        <v>145</v>
      </c>
      <c r="F400" s="29">
        <v>23921</v>
      </c>
      <c r="G400" s="56" t="str">
        <f t="shared" ca="1" si="60"/>
        <v>V 55</v>
      </c>
      <c r="H400" s="28">
        <f t="shared" ca="1" si="61"/>
        <v>55</v>
      </c>
      <c r="J400" s="38" t="str">
        <f t="shared" si="55"/>
        <v>Jorge Shone</v>
      </c>
      <c r="K400" s="39">
        <f t="shared" si="56"/>
        <v>1004</v>
      </c>
      <c r="L400" s="39">
        <f t="shared" si="57"/>
        <v>138938</v>
      </c>
      <c r="M400" s="40">
        <f t="shared" si="62"/>
        <v>23921</v>
      </c>
      <c r="N400" s="41" t="str">
        <f t="shared" ca="1" si="63"/>
        <v>V 55</v>
      </c>
      <c r="O400" s="41" t="str">
        <f t="shared" si="58"/>
        <v>M</v>
      </c>
      <c r="P400" s="60" t="str">
        <f t="shared" si="59"/>
        <v>GDC-M</v>
      </c>
      <c r="Q400" s="61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3">
      <c r="A401" s="28">
        <v>1010</v>
      </c>
      <c r="B401" s="28">
        <v>125198</v>
      </c>
      <c r="C401" s="129" t="s">
        <v>687</v>
      </c>
      <c r="D401" s="128" t="s">
        <v>1240</v>
      </c>
      <c r="E401" s="128" t="s">
        <v>145</v>
      </c>
      <c r="F401" s="29">
        <v>26571</v>
      </c>
      <c r="G401" s="56" t="str">
        <f t="shared" ca="1" si="60"/>
        <v>V 45</v>
      </c>
      <c r="H401" s="28">
        <f t="shared" ca="1" si="61"/>
        <v>48</v>
      </c>
      <c r="J401" s="38" t="str">
        <f t="shared" si="55"/>
        <v>Nelson Fernandes</v>
      </c>
      <c r="K401" s="39">
        <f t="shared" si="56"/>
        <v>1010</v>
      </c>
      <c r="L401" s="39">
        <f t="shared" si="57"/>
        <v>125198</v>
      </c>
      <c r="M401" s="40">
        <f t="shared" si="62"/>
        <v>26571</v>
      </c>
      <c r="N401" s="41" t="str">
        <f t="shared" ca="1" si="63"/>
        <v>V 45</v>
      </c>
      <c r="O401" s="41" t="str">
        <f t="shared" si="58"/>
        <v>M</v>
      </c>
      <c r="P401" s="60" t="str">
        <f t="shared" si="59"/>
        <v>GDC-M</v>
      </c>
      <c r="Q401" s="6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3">
      <c r="A402" s="28">
        <v>1014</v>
      </c>
      <c r="B402" s="28">
        <v>140334</v>
      </c>
      <c r="C402" s="129" t="s">
        <v>697</v>
      </c>
      <c r="D402" s="128" t="s">
        <v>1240</v>
      </c>
      <c r="E402" s="128" t="s">
        <v>145</v>
      </c>
      <c r="F402" s="29">
        <v>30669</v>
      </c>
      <c r="G402" s="56" t="str">
        <f t="shared" ca="1" si="60"/>
        <v>V 35</v>
      </c>
      <c r="H402" s="28">
        <f t="shared" ca="1" si="61"/>
        <v>37</v>
      </c>
      <c r="J402" s="38" t="str">
        <f t="shared" si="55"/>
        <v>Eduardo Teles</v>
      </c>
      <c r="K402" s="39">
        <f t="shared" si="56"/>
        <v>1014</v>
      </c>
      <c r="L402" s="39">
        <f t="shared" si="57"/>
        <v>140334</v>
      </c>
      <c r="M402" s="40">
        <f t="shared" si="62"/>
        <v>30669</v>
      </c>
      <c r="N402" s="41" t="str">
        <f t="shared" ca="1" si="63"/>
        <v>V 35</v>
      </c>
      <c r="O402" s="41" t="str">
        <f t="shared" si="58"/>
        <v>M</v>
      </c>
      <c r="P402" s="60" t="str">
        <f t="shared" si="59"/>
        <v>GDC-M</v>
      </c>
      <c r="Q402" s="61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3">
      <c r="A403" s="28">
        <v>1009</v>
      </c>
      <c r="B403" s="28">
        <v>126372</v>
      </c>
      <c r="C403" s="129" t="s">
        <v>680</v>
      </c>
      <c r="D403" s="128" t="s">
        <v>1240</v>
      </c>
      <c r="E403" s="128" t="s">
        <v>145</v>
      </c>
      <c r="F403" s="29">
        <v>27442</v>
      </c>
      <c r="G403" s="56" t="str">
        <f t="shared" ca="1" si="60"/>
        <v>V 45</v>
      </c>
      <c r="H403" s="28">
        <f t="shared" ca="1" si="61"/>
        <v>46</v>
      </c>
      <c r="J403" s="38" t="str">
        <f t="shared" si="55"/>
        <v>Aurélio Góis</v>
      </c>
      <c r="K403" s="39">
        <f t="shared" si="56"/>
        <v>1009</v>
      </c>
      <c r="L403" s="39">
        <f t="shared" si="57"/>
        <v>126372</v>
      </c>
      <c r="M403" s="40">
        <f t="shared" si="62"/>
        <v>27442</v>
      </c>
      <c r="N403" s="41" t="str">
        <f t="shared" ca="1" si="63"/>
        <v>V 45</v>
      </c>
      <c r="O403" s="41" t="str">
        <f t="shared" si="58"/>
        <v>M</v>
      </c>
      <c r="P403" s="60" t="str">
        <f t="shared" si="59"/>
        <v>GDC-M</v>
      </c>
      <c r="Q403" s="61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3">
      <c r="A404" s="28">
        <v>1008</v>
      </c>
      <c r="B404" s="28">
        <v>146011</v>
      </c>
      <c r="C404" s="129" t="s">
        <v>702</v>
      </c>
      <c r="D404" s="128" t="s">
        <v>1240</v>
      </c>
      <c r="E404" s="128" t="s">
        <v>145</v>
      </c>
      <c r="F404" s="29">
        <v>26829</v>
      </c>
      <c r="G404" s="56" t="str">
        <f t="shared" ca="1" si="60"/>
        <v>V 45</v>
      </c>
      <c r="H404" s="28">
        <f t="shared" ca="1" si="61"/>
        <v>47</v>
      </c>
      <c r="J404" s="38" t="str">
        <f t="shared" si="55"/>
        <v>Ricardo Quaresma</v>
      </c>
      <c r="K404" s="39">
        <f t="shared" si="56"/>
        <v>1008</v>
      </c>
      <c r="L404" s="39">
        <f t="shared" si="57"/>
        <v>146011</v>
      </c>
      <c r="M404" s="40">
        <f t="shared" si="62"/>
        <v>26829</v>
      </c>
      <c r="N404" s="41" t="str">
        <f t="shared" ca="1" si="63"/>
        <v>V 45</v>
      </c>
      <c r="O404" s="41" t="str">
        <f t="shared" si="58"/>
        <v>M</v>
      </c>
      <c r="P404" s="60" t="str">
        <f t="shared" si="59"/>
        <v>GDC-M</v>
      </c>
      <c r="Q404" s="61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3">
      <c r="A405" s="28">
        <v>215</v>
      </c>
      <c r="B405" s="28">
        <v>127158</v>
      </c>
      <c r="C405" s="129" t="s">
        <v>678</v>
      </c>
      <c r="D405" s="128" t="s">
        <v>1240</v>
      </c>
      <c r="E405" s="128" t="s">
        <v>146</v>
      </c>
      <c r="F405" s="29">
        <v>29438</v>
      </c>
      <c r="G405" s="56" t="str">
        <f t="shared" ca="1" si="60"/>
        <v>V 40</v>
      </c>
      <c r="H405" s="28">
        <f t="shared" ca="1" si="61"/>
        <v>40</v>
      </c>
      <c r="J405" s="38" t="str">
        <f t="shared" si="55"/>
        <v>Joana Alves</v>
      </c>
      <c r="K405" s="39">
        <f t="shared" si="56"/>
        <v>215</v>
      </c>
      <c r="L405" s="39">
        <f t="shared" si="57"/>
        <v>127158</v>
      </c>
      <c r="M405" s="40">
        <f t="shared" si="62"/>
        <v>29438</v>
      </c>
      <c r="N405" s="41" t="str">
        <f t="shared" ca="1" si="63"/>
        <v>V 40</v>
      </c>
      <c r="O405" s="41" t="str">
        <f t="shared" si="58"/>
        <v>F</v>
      </c>
      <c r="P405" s="60" t="str">
        <f t="shared" si="59"/>
        <v>GDC-M</v>
      </c>
      <c r="Q405" s="61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3">
      <c r="A406" s="28">
        <v>1003</v>
      </c>
      <c r="B406" s="28">
        <v>128456</v>
      </c>
      <c r="C406" s="129" t="s">
        <v>690</v>
      </c>
      <c r="D406" s="128" t="s">
        <v>1240</v>
      </c>
      <c r="E406" s="128" t="s">
        <v>145</v>
      </c>
      <c r="F406" s="29">
        <v>22697</v>
      </c>
      <c r="G406" s="56" t="str">
        <f t="shared" ca="1" si="60"/>
        <v>V 55</v>
      </c>
      <c r="H406" s="28">
        <f t="shared" ca="1" si="61"/>
        <v>59</v>
      </c>
      <c r="J406" s="38" t="str">
        <f t="shared" si="55"/>
        <v>Paulo J. Gonçalves</v>
      </c>
      <c r="K406" s="39">
        <f t="shared" si="56"/>
        <v>1003</v>
      </c>
      <c r="L406" s="39">
        <f t="shared" si="57"/>
        <v>128456</v>
      </c>
      <c r="M406" s="40">
        <f t="shared" si="62"/>
        <v>22697</v>
      </c>
      <c r="N406" s="41" t="str">
        <f t="shared" ca="1" si="63"/>
        <v>V 55</v>
      </c>
      <c r="O406" s="41" t="str">
        <f t="shared" si="58"/>
        <v>M</v>
      </c>
      <c r="P406" s="60" t="str">
        <f t="shared" si="59"/>
        <v>GDC-M</v>
      </c>
      <c r="Q406" s="61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3">
      <c r="A407" s="28">
        <v>1012</v>
      </c>
      <c r="B407" s="28">
        <v>129636</v>
      </c>
      <c r="C407" s="129" t="s">
        <v>722</v>
      </c>
      <c r="D407" s="128" t="s">
        <v>1240</v>
      </c>
      <c r="E407" s="128" t="s">
        <v>145</v>
      </c>
      <c r="F407" s="29">
        <v>28446</v>
      </c>
      <c r="G407" s="56" t="str">
        <f t="shared" ca="1" si="60"/>
        <v>V 40</v>
      </c>
      <c r="H407" s="28">
        <f t="shared" ca="1" si="61"/>
        <v>43</v>
      </c>
      <c r="J407" s="38" t="str">
        <f t="shared" si="55"/>
        <v>Mário Francisco</v>
      </c>
      <c r="K407" s="39">
        <f t="shared" si="56"/>
        <v>1012</v>
      </c>
      <c r="L407" s="39">
        <f t="shared" si="57"/>
        <v>129636</v>
      </c>
      <c r="M407" s="40">
        <f t="shared" si="62"/>
        <v>28446</v>
      </c>
      <c r="N407" s="41" t="str">
        <f t="shared" ca="1" si="63"/>
        <v>V 40</v>
      </c>
      <c r="O407" s="41" t="str">
        <f t="shared" si="58"/>
        <v>M</v>
      </c>
      <c r="P407" s="60" t="str">
        <f t="shared" si="59"/>
        <v>GDC-M</v>
      </c>
      <c r="Q407" s="61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3">
      <c r="A408" s="28">
        <v>1007</v>
      </c>
      <c r="B408" s="28">
        <v>126867</v>
      </c>
      <c r="C408" s="129" t="s">
        <v>925</v>
      </c>
      <c r="D408" s="128" t="s">
        <v>1240</v>
      </c>
      <c r="E408" s="128" t="s">
        <v>145</v>
      </c>
      <c r="F408" s="29">
        <v>27476</v>
      </c>
      <c r="G408" s="56" t="str">
        <f t="shared" ca="1" si="60"/>
        <v>V 45</v>
      </c>
      <c r="H408" s="28">
        <f t="shared" ca="1" si="61"/>
        <v>46</v>
      </c>
      <c r="J408" s="38" t="str">
        <f t="shared" si="55"/>
        <v>Alberto Jardim</v>
      </c>
      <c r="K408" s="39">
        <f t="shared" si="56"/>
        <v>1007</v>
      </c>
      <c r="L408" s="39">
        <f t="shared" si="57"/>
        <v>126867</v>
      </c>
      <c r="M408" s="40">
        <f t="shared" si="62"/>
        <v>27476</v>
      </c>
      <c r="N408" s="41" t="str">
        <f t="shared" ca="1" si="63"/>
        <v>V 45</v>
      </c>
      <c r="O408" s="41" t="str">
        <f t="shared" si="58"/>
        <v>M</v>
      </c>
      <c r="P408" s="60" t="str">
        <f t="shared" si="59"/>
        <v>GDC-M</v>
      </c>
      <c r="Q408" s="61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3">
      <c r="A409" s="28">
        <v>217</v>
      </c>
      <c r="B409" s="28">
        <v>129062</v>
      </c>
      <c r="C409" s="129" t="s">
        <v>675</v>
      </c>
      <c r="D409" s="128" t="s">
        <v>1240</v>
      </c>
      <c r="E409" s="128" t="s">
        <v>146</v>
      </c>
      <c r="F409" s="29">
        <v>27158</v>
      </c>
      <c r="G409" s="56" t="str">
        <f t="shared" ca="1" si="60"/>
        <v>V 45</v>
      </c>
      <c r="H409" s="28">
        <f t="shared" ca="1" si="61"/>
        <v>46</v>
      </c>
      <c r="J409" s="38" t="str">
        <f t="shared" si="55"/>
        <v>Marla Vieira</v>
      </c>
      <c r="K409" s="39">
        <f t="shared" si="56"/>
        <v>217</v>
      </c>
      <c r="L409" s="39">
        <f t="shared" si="57"/>
        <v>129062</v>
      </c>
      <c r="M409" s="40">
        <f t="shared" si="62"/>
        <v>27158</v>
      </c>
      <c r="N409" s="41" t="str">
        <f t="shared" ca="1" si="63"/>
        <v>V 45</v>
      </c>
      <c r="O409" s="41" t="str">
        <f t="shared" si="58"/>
        <v>F</v>
      </c>
      <c r="P409" s="60" t="str">
        <f t="shared" si="59"/>
        <v>GDC-M</v>
      </c>
      <c r="Q409" s="61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3">
      <c r="A410" s="28">
        <v>1017</v>
      </c>
      <c r="B410" s="28">
        <v>152415</v>
      </c>
      <c r="C410" s="129" t="s">
        <v>874</v>
      </c>
      <c r="D410" s="128" t="s">
        <v>1240</v>
      </c>
      <c r="E410" s="128" t="s">
        <v>145</v>
      </c>
      <c r="F410" s="29">
        <v>32524</v>
      </c>
      <c r="G410" s="56" t="str">
        <f t="shared" ca="1" si="60"/>
        <v>Sénior</v>
      </c>
      <c r="H410" s="28">
        <f t="shared" ca="1" si="61"/>
        <v>32</v>
      </c>
      <c r="J410" s="38" t="str">
        <f t="shared" si="55"/>
        <v>Francisco Correia</v>
      </c>
      <c r="K410" s="39">
        <f t="shared" si="56"/>
        <v>1017</v>
      </c>
      <c r="L410" s="39">
        <f t="shared" si="57"/>
        <v>152415</v>
      </c>
      <c r="M410" s="40">
        <f t="shared" si="62"/>
        <v>32524</v>
      </c>
      <c r="N410" s="41" t="str">
        <f t="shared" ca="1" si="63"/>
        <v>Sénior</v>
      </c>
      <c r="O410" s="41" t="str">
        <f t="shared" si="58"/>
        <v>M</v>
      </c>
      <c r="P410" s="60" t="str">
        <f t="shared" si="59"/>
        <v>GDC-M</v>
      </c>
      <c r="Q410" s="61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3">
      <c r="A411" s="28">
        <v>1002</v>
      </c>
      <c r="B411" s="28">
        <v>125187</v>
      </c>
      <c r="C411" s="129" t="s">
        <v>926</v>
      </c>
      <c r="D411" s="128" t="s">
        <v>1240</v>
      </c>
      <c r="E411" s="128" t="s">
        <v>145</v>
      </c>
      <c r="F411" s="29">
        <v>22602</v>
      </c>
      <c r="G411" s="56" t="str">
        <f t="shared" ca="1" si="60"/>
        <v>V 55</v>
      </c>
      <c r="H411" s="28">
        <f t="shared" ca="1" si="61"/>
        <v>59</v>
      </c>
      <c r="J411" s="38" t="str">
        <f t="shared" si="55"/>
        <v>Joaquim Fernandes</v>
      </c>
      <c r="K411" s="39">
        <f t="shared" si="56"/>
        <v>1002</v>
      </c>
      <c r="L411" s="39">
        <f t="shared" si="57"/>
        <v>125187</v>
      </c>
      <c r="M411" s="40">
        <f t="shared" si="62"/>
        <v>22602</v>
      </c>
      <c r="N411" s="41" t="str">
        <f t="shared" ca="1" si="63"/>
        <v>V 55</v>
      </c>
      <c r="O411" s="41" t="str">
        <f t="shared" si="58"/>
        <v>M</v>
      </c>
      <c r="P411" s="60" t="str">
        <f t="shared" si="59"/>
        <v>GDC-M</v>
      </c>
      <c r="Q411" s="6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3">
      <c r="A412" s="28">
        <v>1001</v>
      </c>
      <c r="B412" s="28">
        <v>125164</v>
      </c>
      <c r="C412" s="129" t="s">
        <v>682</v>
      </c>
      <c r="D412" s="128" t="s">
        <v>1240</v>
      </c>
      <c r="E412" s="128" t="s">
        <v>145</v>
      </c>
      <c r="F412" s="29">
        <v>22544</v>
      </c>
      <c r="G412" s="56" t="str">
        <f t="shared" ca="1" si="60"/>
        <v>V 55</v>
      </c>
      <c r="H412" s="28">
        <f t="shared" ca="1" si="61"/>
        <v>59</v>
      </c>
      <c r="J412" s="38" t="str">
        <f t="shared" si="55"/>
        <v>Horácio Rodrigues</v>
      </c>
      <c r="K412" s="39">
        <f t="shared" si="56"/>
        <v>1001</v>
      </c>
      <c r="L412" s="39">
        <f t="shared" si="57"/>
        <v>125164</v>
      </c>
      <c r="M412" s="40">
        <f t="shared" si="62"/>
        <v>22544</v>
      </c>
      <c r="N412" s="41" t="str">
        <f t="shared" ca="1" si="63"/>
        <v>V 55</v>
      </c>
      <c r="O412" s="41" t="str">
        <f t="shared" si="58"/>
        <v>M</v>
      </c>
      <c r="P412" s="60" t="str">
        <f t="shared" si="59"/>
        <v>GDC-M</v>
      </c>
      <c r="Q412" s="61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3">
      <c r="A413" s="28">
        <v>218</v>
      </c>
      <c r="B413" s="28">
        <v>126901</v>
      </c>
      <c r="C413" s="129" t="s">
        <v>674</v>
      </c>
      <c r="D413" s="128" t="s">
        <v>1240</v>
      </c>
      <c r="E413" s="128" t="s">
        <v>146</v>
      </c>
      <c r="F413" s="29">
        <v>18338</v>
      </c>
      <c r="G413" s="56" t="str">
        <f t="shared" ca="1" si="60"/>
        <v>V 70</v>
      </c>
      <c r="H413" s="28">
        <f t="shared" ca="1" si="61"/>
        <v>71</v>
      </c>
      <c r="J413" s="38" t="str">
        <f t="shared" si="55"/>
        <v>Maria Tavares</v>
      </c>
      <c r="K413" s="39">
        <f t="shared" si="56"/>
        <v>218</v>
      </c>
      <c r="L413" s="39">
        <f t="shared" si="57"/>
        <v>126901</v>
      </c>
      <c r="M413" s="40">
        <f t="shared" si="62"/>
        <v>18338</v>
      </c>
      <c r="N413" s="41" t="str">
        <f t="shared" ca="1" si="63"/>
        <v>V 70</v>
      </c>
      <c r="O413" s="41" t="str">
        <f t="shared" si="58"/>
        <v>F</v>
      </c>
      <c r="P413" s="60" t="str">
        <f t="shared" si="59"/>
        <v>GDC-M</v>
      </c>
      <c r="Q413" s="61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3">
      <c r="A414" s="28">
        <v>1006</v>
      </c>
      <c r="B414" s="28">
        <v>128993</v>
      </c>
      <c r="C414" s="129" t="s">
        <v>689</v>
      </c>
      <c r="D414" s="128" t="s">
        <v>1240</v>
      </c>
      <c r="E414" s="128" t="s">
        <v>145</v>
      </c>
      <c r="F414" s="29">
        <v>27603</v>
      </c>
      <c r="G414" s="56" t="str">
        <f t="shared" ca="1" si="60"/>
        <v>V 45</v>
      </c>
      <c r="H414" s="28">
        <f t="shared" ca="1" si="61"/>
        <v>45</v>
      </c>
      <c r="J414" s="38" t="str">
        <f t="shared" si="55"/>
        <v>Paulo Fernandes</v>
      </c>
      <c r="K414" s="39">
        <f t="shared" si="56"/>
        <v>1006</v>
      </c>
      <c r="L414" s="39">
        <f t="shared" si="57"/>
        <v>128993</v>
      </c>
      <c r="M414" s="40">
        <f t="shared" si="62"/>
        <v>27603</v>
      </c>
      <c r="N414" s="41" t="str">
        <f t="shared" ca="1" si="63"/>
        <v>V 45</v>
      </c>
      <c r="O414" s="41" t="str">
        <f t="shared" si="58"/>
        <v>M</v>
      </c>
      <c r="P414" s="60" t="str">
        <f t="shared" si="59"/>
        <v>GDC-M</v>
      </c>
      <c r="Q414" s="61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3">
      <c r="A415" s="28">
        <v>1005</v>
      </c>
      <c r="B415" s="28">
        <v>141712</v>
      </c>
      <c r="C415" s="129" t="s">
        <v>699</v>
      </c>
      <c r="D415" s="128" t="s">
        <v>1240</v>
      </c>
      <c r="E415" s="128" t="s">
        <v>145</v>
      </c>
      <c r="F415" s="29">
        <v>27368</v>
      </c>
      <c r="G415" s="56" t="str">
        <f t="shared" ca="1" si="60"/>
        <v>V 45</v>
      </c>
      <c r="H415" s="28">
        <f t="shared" ca="1" si="61"/>
        <v>46</v>
      </c>
      <c r="J415" s="38" t="str">
        <f t="shared" si="55"/>
        <v>Rómulo Ascensão</v>
      </c>
      <c r="K415" s="39">
        <f t="shared" si="56"/>
        <v>1005</v>
      </c>
      <c r="L415" s="39">
        <f t="shared" si="57"/>
        <v>141712</v>
      </c>
      <c r="M415" s="40">
        <f t="shared" si="62"/>
        <v>27368</v>
      </c>
      <c r="N415" s="41" t="str">
        <f t="shared" ca="1" si="63"/>
        <v>V 45</v>
      </c>
      <c r="O415" s="41" t="str">
        <f t="shared" si="58"/>
        <v>M</v>
      </c>
      <c r="P415" s="60" t="str">
        <f t="shared" si="59"/>
        <v>GDC-M</v>
      </c>
      <c r="Q415" s="61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3">
      <c r="A416" s="28">
        <v>1013</v>
      </c>
      <c r="B416" s="28">
        <v>130018</v>
      </c>
      <c r="C416" s="129" t="s">
        <v>681</v>
      </c>
      <c r="D416" s="128" t="s">
        <v>1240</v>
      </c>
      <c r="E416" s="128" t="s">
        <v>145</v>
      </c>
      <c r="F416" s="29">
        <v>30726</v>
      </c>
      <c r="G416" s="56" t="str">
        <f t="shared" ca="1" si="60"/>
        <v>V 35</v>
      </c>
      <c r="H416" s="28">
        <f t="shared" ca="1" si="61"/>
        <v>37</v>
      </c>
      <c r="J416" s="38" t="str">
        <f t="shared" si="55"/>
        <v>Élio Santos</v>
      </c>
      <c r="K416" s="39">
        <f t="shared" si="56"/>
        <v>1013</v>
      </c>
      <c r="L416" s="39">
        <f t="shared" si="57"/>
        <v>130018</v>
      </c>
      <c r="M416" s="40">
        <f t="shared" si="62"/>
        <v>30726</v>
      </c>
      <c r="N416" s="41" t="str">
        <f t="shared" ca="1" si="63"/>
        <v>V 35</v>
      </c>
      <c r="O416" s="41" t="str">
        <f t="shared" si="58"/>
        <v>M</v>
      </c>
      <c r="P416" s="60" t="str">
        <f t="shared" si="59"/>
        <v>GDC-M</v>
      </c>
      <c r="Q416" s="61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3">
      <c r="A417" s="28">
        <v>216</v>
      </c>
      <c r="B417" s="28">
        <v>124801</v>
      </c>
      <c r="C417" s="129" t="s">
        <v>673</v>
      </c>
      <c r="D417" s="128" t="s">
        <v>1240</v>
      </c>
      <c r="E417" s="128" t="s">
        <v>146</v>
      </c>
      <c r="F417" s="29">
        <v>28319</v>
      </c>
      <c r="G417" s="56" t="str">
        <f t="shared" ca="1" si="60"/>
        <v>V 40</v>
      </c>
      <c r="H417" s="28">
        <f t="shared" ca="1" si="61"/>
        <v>43</v>
      </c>
      <c r="J417" s="38" t="str">
        <f t="shared" si="55"/>
        <v>Filipa José</v>
      </c>
      <c r="K417" s="39">
        <f t="shared" si="56"/>
        <v>216</v>
      </c>
      <c r="L417" s="39">
        <f t="shared" si="57"/>
        <v>124801</v>
      </c>
      <c r="M417" s="40">
        <f t="shared" si="62"/>
        <v>28319</v>
      </c>
      <c r="N417" s="41" t="str">
        <f t="shared" ca="1" si="63"/>
        <v>V 40</v>
      </c>
      <c r="O417" s="41" t="str">
        <f t="shared" si="58"/>
        <v>F</v>
      </c>
      <c r="P417" s="60" t="str">
        <f t="shared" si="59"/>
        <v>GDC-M</v>
      </c>
      <c r="Q417" s="61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3">
      <c r="A418" s="28">
        <v>214</v>
      </c>
      <c r="B418" s="28">
        <v>128523</v>
      </c>
      <c r="C418" s="129" t="s">
        <v>672</v>
      </c>
      <c r="D418" s="128" t="s">
        <v>1240</v>
      </c>
      <c r="E418" s="128" t="s">
        <v>146</v>
      </c>
      <c r="F418" s="29">
        <v>34871</v>
      </c>
      <c r="G418" s="56" t="str">
        <f t="shared" ca="1" si="60"/>
        <v>Sénior</v>
      </c>
      <c r="H418" s="28">
        <f t="shared" ca="1" si="61"/>
        <v>25</v>
      </c>
      <c r="J418" s="38" t="str">
        <f t="shared" si="55"/>
        <v>Catarina Gonçalves</v>
      </c>
      <c r="K418" s="39">
        <f t="shared" si="56"/>
        <v>214</v>
      </c>
      <c r="L418" s="39">
        <f t="shared" si="57"/>
        <v>128523</v>
      </c>
      <c r="M418" s="40">
        <f t="shared" si="62"/>
        <v>34871</v>
      </c>
      <c r="N418" s="41" t="str">
        <f t="shared" ca="1" si="63"/>
        <v>Sénior</v>
      </c>
      <c r="O418" s="41" t="str">
        <f t="shared" si="58"/>
        <v>F</v>
      </c>
      <c r="P418" s="60" t="str">
        <f t="shared" si="59"/>
        <v>GDC-M</v>
      </c>
      <c r="Q418" s="61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3">
      <c r="A419" s="28">
        <v>1000</v>
      </c>
      <c r="B419" s="28">
        <v>151137</v>
      </c>
      <c r="C419" s="129" t="s">
        <v>1296</v>
      </c>
      <c r="D419" s="128" t="s">
        <v>1240</v>
      </c>
      <c r="E419" s="128" t="s">
        <v>145</v>
      </c>
      <c r="F419" s="29">
        <v>17495</v>
      </c>
      <c r="G419" s="56" t="str">
        <f t="shared" ca="1" si="60"/>
        <v>V 70</v>
      </c>
      <c r="H419" s="28">
        <f t="shared" ca="1" si="61"/>
        <v>73</v>
      </c>
      <c r="J419" s="38" t="str">
        <f t="shared" si="55"/>
        <v>Kari Santala</v>
      </c>
      <c r="K419" s="39">
        <f t="shared" si="56"/>
        <v>1000</v>
      </c>
      <c r="L419" s="39">
        <f t="shared" si="57"/>
        <v>151137</v>
      </c>
      <c r="M419" s="40">
        <f t="shared" si="62"/>
        <v>17495</v>
      </c>
      <c r="N419" s="41" t="str">
        <f t="shared" ca="1" si="63"/>
        <v>V 70</v>
      </c>
      <c r="O419" s="41" t="str">
        <f t="shared" si="58"/>
        <v>M</v>
      </c>
      <c r="P419" s="60" t="str">
        <f t="shared" si="59"/>
        <v>GDC-M</v>
      </c>
      <c r="Q419" s="61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3">
      <c r="A420" s="28">
        <v>1500</v>
      </c>
      <c r="B420" s="28">
        <v>146463</v>
      </c>
      <c r="C420" s="129" t="s">
        <v>588</v>
      </c>
      <c r="D420" s="128" t="s">
        <v>97</v>
      </c>
      <c r="E420" s="128" t="s">
        <v>145</v>
      </c>
      <c r="F420" s="29">
        <v>31826</v>
      </c>
      <c r="G420" s="56" t="str">
        <f t="shared" ca="1" si="60"/>
        <v>Sénior</v>
      </c>
      <c r="H420" s="28">
        <f t="shared" ca="1" si="61"/>
        <v>34</v>
      </c>
      <c r="J420" s="38" t="str">
        <f t="shared" si="55"/>
        <v>Eduardo Macedo</v>
      </c>
      <c r="K420" s="39">
        <f t="shared" si="56"/>
        <v>1500</v>
      </c>
      <c r="L420" s="39">
        <f t="shared" si="57"/>
        <v>146463</v>
      </c>
      <c r="M420" s="40">
        <f t="shared" si="62"/>
        <v>31826</v>
      </c>
      <c r="N420" s="41" t="str">
        <f t="shared" ca="1" si="63"/>
        <v>Sénior</v>
      </c>
      <c r="O420" s="41" t="str">
        <f t="shared" si="58"/>
        <v>M</v>
      </c>
      <c r="P420" s="60" t="str">
        <f t="shared" si="59"/>
        <v>ADRAP</v>
      </c>
      <c r="Q420" s="61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3">
      <c r="A421" s="28">
        <v>1479</v>
      </c>
      <c r="B421" s="28">
        <v>151376</v>
      </c>
      <c r="C421" s="129" t="s">
        <v>804</v>
      </c>
      <c r="D421" s="128" t="s">
        <v>97</v>
      </c>
      <c r="E421" s="128" t="s">
        <v>145</v>
      </c>
      <c r="F421" s="29">
        <v>30451</v>
      </c>
      <c r="G421" s="56" t="str">
        <f t="shared" ca="1" si="60"/>
        <v>V 35</v>
      </c>
      <c r="H421" s="28">
        <f t="shared" ca="1" si="61"/>
        <v>37</v>
      </c>
      <c r="J421" s="38" t="str">
        <f t="shared" si="55"/>
        <v>Élvio Sousa</v>
      </c>
      <c r="K421" s="39">
        <f t="shared" si="56"/>
        <v>1479</v>
      </c>
      <c r="L421" s="39">
        <f t="shared" si="57"/>
        <v>151376</v>
      </c>
      <c r="M421" s="40">
        <f t="shared" si="62"/>
        <v>30451</v>
      </c>
      <c r="N421" s="41" t="str">
        <f t="shared" ca="1" si="63"/>
        <v>V 35</v>
      </c>
      <c r="O421" s="41" t="str">
        <f t="shared" si="58"/>
        <v>M</v>
      </c>
      <c r="P421" s="60" t="str">
        <f t="shared" si="59"/>
        <v>ADRAP</v>
      </c>
      <c r="Q421" s="6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3">
      <c r="A422" s="28">
        <v>1478</v>
      </c>
      <c r="B422" s="28">
        <v>145124</v>
      </c>
      <c r="C422" s="129" t="s">
        <v>569</v>
      </c>
      <c r="D422" s="128" t="s">
        <v>97</v>
      </c>
      <c r="E422" s="128" t="s">
        <v>145</v>
      </c>
      <c r="F422" s="29">
        <v>30718</v>
      </c>
      <c r="G422" s="56" t="str">
        <f t="shared" ca="1" si="60"/>
        <v>V 35</v>
      </c>
      <c r="H422" s="28">
        <f t="shared" ca="1" si="61"/>
        <v>37</v>
      </c>
      <c r="J422" s="38" t="str">
        <f t="shared" si="55"/>
        <v>Pedro Vares</v>
      </c>
      <c r="K422" s="39">
        <f t="shared" si="56"/>
        <v>1478</v>
      </c>
      <c r="L422" s="39">
        <f t="shared" si="57"/>
        <v>145124</v>
      </c>
      <c r="M422" s="40">
        <f t="shared" si="62"/>
        <v>30718</v>
      </c>
      <c r="N422" s="41" t="str">
        <f t="shared" ca="1" si="63"/>
        <v>V 35</v>
      </c>
      <c r="O422" s="41" t="str">
        <f t="shared" si="58"/>
        <v>M</v>
      </c>
      <c r="P422" s="60" t="str">
        <f t="shared" si="59"/>
        <v>ADRAP</v>
      </c>
      <c r="Q422" s="61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3">
      <c r="A423" s="28">
        <v>1499</v>
      </c>
      <c r="B423" s="28">
        <v>124664</v>
      </c>
      <c r="C423" s="129" t="s">
        <v>235</v>
      </c>
      <c r="D423" s="128" t="s">
        <v>97</v>
      </c>
      <c r="E423" s="128" t="s">
        <v>145</v>
      </c>
      <c r="F423" s="29">
        <v>33739</v>
      </c>
      <c r="G423" s="56" t="str">
        <f t="shared" ca="1" si="60"/>
        <v>Sénior</v>
      </c>
      <c r="H423" s="28">
        <f t="shared" ca="1" si="61"/>
        <v>28</v>
      </c>
      <c r="J423" s="38" t="str">
        <f t="shared" si="55"/>
        <v>Diogo Abreu</v>
      </c>
      <c r="K423" s="39">
        <f t="shared" si="56"/>
        <v>1499</v>
      </c>
      <c r="L423" s="39">
        <f t="shared" si="57"/>
        <v>124664</v>
      </c>
      <c r="M423" s="40">
        <f t="shared" si="62"/>
        <v>33739</v>
      </c>
      <c r="N423" s="41" t="str">
        <f t="shared" ca="1" si="63"/>
        <v>Sénior</v>
      </c>
      <c r="O423" s="41" t="str">
        <f t="shared" si="58"/>
        <v>M</v>
      </c>
      <c r="P423" s="60" t="str">
        <f t="shared" si="59"/>
        <v>ADRAP</v>
      </c>
      <c r="Q423" s="61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3">
      <c r="A424" s="28">
        <v>1427</v>
      </c>
      <c r="B424" s="28">
        <v>142529</v>
      </c>
      <c r="C424" s="129" t="s">
        <v>1277</v>
      </c>
      <c r="D424" s="128" t="s">
        <v>123</v>
      </c>
      <c r="E424" s="128" t="s">
        <v>145</v>
      </c>
      <c r="F424" s="29">
        <v>30143</v>
      </c>
      <c r="G424" s="56" t="str">
        <f t="shared" ca="1" si="60"/>
        <v>V 35</v>
      </c>
      <c r="H424" s="28">
        <f t="shared" ca="1" si="61"/>
        <v>38</v>
      </c>
      <c r="J424" s="38" t="str">
        <f t="shared" si="55"/>
        <v>Rúben Escórcio</v>
      </c>
      <c r="K424" s="39">
        <f t="shared" si="56"/>
        <v>1427</v>
      </c>
      <c r="L424" s="39">
        <f t="shared" si="57"/>
        <v>142529</v>
      </c>
      <c r="M424" s="40">
        <f t="shared" si="62"/>
        <v>30143</v>
      </c>
      <c r="N424" s="41" t="str">
        <f t="shared" ca="1" si="63"/>
        <v>V 35</v>
      </c>
      <c r="O424" s="41" t="str">
        <f t="shared" si="58"/>
        <v>M</v>
      </c>
      <c r="P424" s="60" t="str">
        <f t="shared" si="59"/>
        <v>AJS</v>
      </c>
      <c r="Q424" s="61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3">
      <c r="A425" s="28">
        <v>53</v>
      </c>
      <c r="B425" s="28">
        <v>142530</v>
      </c>
      <c r="C425" s="129" t="s">
        <v>1275</v>
      </c>
      <c r="D425" s="128" t="s">
        <v>123</v>
      </c>
      <c r="E425" s="128" t="s">
        <v>146</v>
      </c>
      <c r="F425" s="29">
        <v>30082</v>
      </c>
      <c r="G425" s="56" t="str">
        <f t="shared" ca="1" si="60"/>
        <v>V 35</v>
      </c>
      <c r="H425" s="28">
        <f t="shared" ca="1" si="61"/>
        <v>38</v>
      </c>
      <c r="J425" s="38" t="str">
        <f t="shared" si="55"/>
        <v>Mayra Abreu</v>
      </c>
      <c r="K425" s="39">
        <f t="shared" si="56"/>
        <v>53</v>
      </c>
      <c r="L425" s="39">
        <f t="shared" si="57"/>
        <v>142530</v>
      </c>
      <c r="M425" s="40">
        <f t="shared" si="62"/>
        <v>30082</v>
      </c>
      <c r="N425" s="41" t="str">
        <f t="shared" ca="1" si="63"/>
        <v>V 35</v>
      </c>
      <c r="O425" s="41" t="str">
        <f t="shared" si="58"/>
        <v>F</v>
      </c>
      <c r="P425" s="60" t="str">
        <f t="shared" si="59"/>
        <v>AJS</v>
      </c>
      <c r="Q425" s="61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3">
      <c r="A426" s="28">
        <v>1409</v>
      </c>
      <c r="B426" s="28">
        <v>131073</v>
      </c>
      <c r="C426" s="129" t="s">
        <v>405</v>
      </c>
      <c r="D426" s="128" t="s">
        <v>123</v>
      </c>
      <c r="E426" s="128" t="s">
        <v>145</v>
      </c>
      <c r="F426" s="29">
        <v>25932</v>
      </c>
      <c r="G426" s="56" t="str">
        <f t="shared" ca="1" si="60"/>
        <v>V 50</v>
      </c>
      <c r="H426" s="28">
        <f t="shared" ca="1" si="61"/>
        <v>50</v>
      </c>
      <c r="J426" s="38" t="str">
        <f t="shared" si="55"/>
        <v>Angelino Gonçalves</v>
      </c>
      <c r="K426" s="39">
        <f t="shared" si="56"/>
        <v>1409</v>
      </c>
      <c r="L426" s="39">
        <f t="shared" si="57"/>
        <v>131073</v>
      </c>
      <c r="M426" s="40">
        <f t="shared" si="62"/>
        <v>25932</v>
      </c>
      <c r="N426" s="41" t="str">
        <f t="shared" ca="1" si="63"/>
        <v>V 50</v>
      </c>
      <c r="O426" s="41" t="str">
        <f t="shared" si="58"/>
        <v>M</v>
      </c>
      <c r="P426" s="60" t="str">
        <f t="shared" si="59"/>
        <v>AJS</v>
      </c>
      <c r="Q426" s="61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3">
      <c r="A427" s="28">
        <v>1737</v>
      </c>
      <c r="B427" s="28">
        <v>144929</v>
      </c>
      <c r="C427" s="129" t="s">
        <v>567</v>
      </c>
      <c r="D427" s="128" t="s">
        <v>123</v>
      </c>
      <c r="E427" s="128" t="s">
        <v>145</v>
      </c>
      <c r="F427" s="29">
        <v>37614</v>
      </c>
      <c r="G427" s="56" t="str">
        <f t="shared" ca="1" si="60"/>
        <v>Júnior</v>
      </c>
      <c r="H427" s="28">
        <f t="shared" ca="1" si="61"/>
        <v>18</v>
      </c>
      <c r="J427" s="38" t="str">
        <f t="shared" si="55"/>
        <v>Ivo Figueira</v>
      </c>
      <c r="K427" s="39">
        <f t="shared" si="56"/>
        <v>1737</v>
      </c>
      <c r="L427" s="39">
        <f t="shared" si="57"/>
        <v>144929</v>
      </c>
      <c r="M427" s="40">
        <f t="shared" si="62"/>
        <v>37614</v>
      </c>
      <c r="N427" s="41" t="str">
        <f t="shared" ca="1" si="63"/>
        <v>Júnior</v>
      </c>
      <c r="O427" s="41" t="str">
        <f t="shared" si="58"/>
        <v>M</v>
      </c>
      <c r="P427" s="60" t="str">
        <f t="shared" si="59"/>
        <v>AJS</v>
      </c>
      <c r="Q427" s="61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3">
      <c r="A428" s="28">
        <v>1477</v>
      </c>
      <c r="B428" s="28">
        <v>125379</v>
      </c>
      <c r="C428" s="129" t="s">
        <v>132</v>
      </c>
      <c r="D428" s="128" t="s">
        <v>97</v>
      </c>
      <c r="E428" s="128" t="s">
        <v>145</v>
      </c>
      <c r="F428" s="29">
        <v>30822</v>
      </c>
      <c r="G428" s="56" t="str">
        <f t="shared" ca="1" si="60"/>
        <v>V 35</v>
      </c>
      <c r="H428" s="28">
        <f t="shared" ca="1" si="61"/>
        <v>36</v>
      </c>
      <c r="J428" s="38" t="str">
        <f t="shared" si="55"/>
        <v>Décio Gaspar</v>
      </c>
      <c r="K428" s="39">
        <f t="shared" si="56"/>
        <v>1477</v>
      </c>
      <c r="L428" s="39">
        <f t="shared" si="57"/>
        <v>125379</v>
      </c>
      <c r="M428" s="40">
        <f t="shared" si="62"/>
        <v>30822</v>
      </c>
      <c r="N428" s="41" t="str">
        <f t="shared" ca="1" si="63"/>
        <v>V 35</v>
      </c>
      <c r="O428" s="41" t="str">
        <f t="shared" si="58"/>
        <v>M</v>
      </c>
      <c r="P428" s="60" t="str">
        <f t="shared" si="59"/>
        <v>ADRAP</v>
      </c>
      <c r="Q428" s="61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3">
      <c r="A429" s="28">
        <v>1476</v>
      </c>
      <c r="B429" s="28">
        <v>132839</v>
      </c>
      <c r="C429" s="129" t="s">
        <v>291</v>
      </c>
      <c r="D429" s="128" t="s">
        <v>97</v>
      </c>
      <c r="E429" s="128" t="s">
        <v>145</v>
      </c>
      <c r="F429" s="29">
        <v>29780</v>
      </c>
      <c r="G429" s="56" t="str">
        <f t="shared" ca="1" si="60"/>
        <v>V 35</v>
      </c>
      <c r="H429" s="28">
        <f t="shared" ca="1" si="61"/>
        <v>39</v>
      </c>
      <c r="J429" s="38" t="str">
        <f t="shared" si="55"/>
        <v>Paulo F. Nóbrega</v>
      </c>
      <c r="K429" s="39">
        <f t="shared" si="56"/>
        <v>1476</v>
      </c>
      <c r="L429" s="39">
        <f t="shared" si="57"/>
        <v>132839</v>
      </c>
      <c r="M429" s="40">
        <f t="shared" si="62"/>
        <v>29780</v>
      </c>
      <c r="N429" s="41" t="str">
        <f t="shared" ca="1" si="63"/>
        <v>V 35</v>
      </c>
      <c r="O429" s="41" t="str">
        <f t="shared" si="58"/>
        <v>M</v>
      </c>
      <c r="P429" s="60" t="str">
        <f t="shared" si="59"/>
        <v>ADRAP</v>
      </c>
      <c r="Q429" s="61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3">
      <c r="A430" s="28">
        <v>1483</v>
      </c>
      <c r="B430" s="28">
        <v>148080</v>
      </c>
      <c r="C430" s="129" t="s">
        <v>732</v>
      </c>
      <c r="D430" s="128" t="s">
        <v>97</v>
      </c>
      <c r="E430" s="128" t="s">
        <v>145</v>
      </c>
      <c r="F430" s="29">
        <v>36985</v>
      </c>
      <c r="G430" s="56" t="str">
        <f t="shared" ca="1" si="60"/>
        <v>sub 23</v>
      </c>
      <c r="H430" s="28">
        <f t="shared" ca="1" si="61"/>
        <v>20</v>
      </c>
      <c r="J430" s="38" t="str">
        <f t="shared" si="55"/>
        <v>Samuel Vasconcelos</v>
      </c>
      <c r="K430" s="39">
        <f t="shared" si="56"/>
        <v>1483</v>
      </c>
      <c r="L430" s="39">
        <f t="shared" si="57"/>
        <v>148080</v>
      </c>
      <c r="M430" s="40">
        <f t="shared" si="62"/>
        <v>36985</v>
      </c>
      <c r="N430" s="41" t="str">
        <f t="shared" ca="1" si="63"/>
        <v>sub 23</v>
      </c>
      <c r="O430" s="41" t="str">
        <f t="shared" si="58"/>
        <v>M</v>
      </c>
      <c r="P430" s="60" t="str">
        <f t="shared" si="59"/>
        <v>ADRAP</v>
      </c>
      <c r="Q430" s="61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3">
      <c r="A431" s="28">
        <v>27</v>
      </c>
      <c r="B431" s="28">
        <v>130281</v>
      </c>
      <c r="C431" s="129" t="s">
        <v>587</v>
      </c>
      <c r="D431" s="128" t="s">
        <v>97</v>
      </c>
      <c r="E431" s="128" t="s">
        <v>146</v>
      </c>
      <c r="F431" s="29">
        <v>30145</v>
      </c>
      <c r="G431" s="56" t="str">
        <f t="shared" ca="1" si="60"/>
        <v>V 35</v>
      </c>
      <c r="H431" s="28">
        <f t="shared" ca="1" si="61"/>
        <v>38</v>
      </c>
      <c r="J431" s="38" t="str">
        <f t="shared" si="55"/>
        <v>Cláudia Azevedo</v>
      </c>
      <c r="K431" s="39">
        <f t="shared" si="56"/>
        <v>27</v>
      </c>
      <c r="L431" s="39">
        <f t="shared" si="57"/>
        <v>130281</v>
      </c>
      <c r="M431" s="40">
        <f t="shared" si="62"/>
        <v>30145</v>
      </c>
      <c r="N431" s="41" t="str">
        <f t="shared" ca="1" si="63"/>
        <v>V 35</v>
      </c>
      <c r="O431" s="41" t="str">
        <f t="shared" si="58"/>
        <v>F</v>
      </c>
      <c r="P431" s="60" t="str">
        <f t="shared" si="59"/>
        <v>ADRAP</v>
      </c>
      <c r="Q431" s="6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3">
      <c r="A432" s="28">
        <v>1748</v>
      </c>
      <c r="B432" s="28">
        <v>134565</v>
      </c>
      <c r="C432" s="129" t="s">
        <v>416</v>
      </c>
      <c r="D432" s="128" t="s">
        <v>97</v>
      </c>
      <c r="E432" s="128" t="s">
        <v>145</v>
      </c>
      <c r="F432" s="29">
        <v>37401</v>
      </c>
      <c r="G432" s="56" t="str">
        <f t="shared" ca="1" si="60"/>
        <v>Júnior</v>
      </c>
      <c r="H432" s="28">
        <f t="shared" ca="1" si="61"/>
        <v>18</v>
      </c>
      <c r="J432" s="38" t="str">
        <f t="shared" si="55"/>
        <v>Francisco Belo</v>
      </c>
      <c r="K432" s="39">
        <f t="shared" si="56"/>
        <v>1748</v>
      </c>
      <c r="L432" s="39">
        <f t="shared" si="57"/>
        <v>134565</v>
      </c>
      <c r="M432" s="40">
        <f t="shared" si="62"/>
        <v>37401</v>
      </c>
      <c r="N432" s="41" t="str">
        <f t="shared" ca="1" si="63"/>
        <v>Júnior</v>
      </c>
      <c r="O432" s="41" t="str">
        <f t="shared" si="58"/>
        <v>M</v>
      </c>
      <c r="P432" s="60" t="str">
        <f t="shared" si="59"/>
        <v>ADRAP</v>
      </c>
      <c r="Q432" s="61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3">
      <c r="A433" s="28">
        <v>1552</v>
      </c>
      <c r="B433" s="28">
        <v>134566</v>
      </c>
      <c r="C433" s="129" t="s">
        <v>415</v>
      </c>
      <c r="D433" s="128" t="s">
        <v>97</v>
      </c>
      <c r="E433" s="128" t="s">
        <v>146</v>
      </c>
      <c r="F433" s="29">
        <v>38373</v>
      </c>
      <c r="G433" s="56" t="str">
        <f t="shared" ca="1" si="60"/>
        <v>Juvenil</v>
      </c>
      <c r="H433" s="28">
        <f t="shared" ca="1" si="61"/>
        <v>16</v>
      </c>
      <c r="J433" s="38" t="str">
        <f t="shared" si="55"/>
        <v>Bruna Belo</v>
      </c>
      <c r="K433" s="39">
        <f t="shared" si="56"/>
        <v>1552</v>
      </c>
      <c r="L433" s="39">
        <f t="shared" si="57"/>
        <v>134566</v>
      </c>
      <c r="M433" s="40">
        <f t="shared" si="62"/>
        <v>38373</v>
      </c>
      <c r="N433" s="41" t="str">
        <f t="shared" ca="1" si="63"/>
        <v>Juvenil</v>
      </c>
      <c r="O433" s="41" t="str">
        <f t="shared" si="58"/>
        <v>F</v>
      </c>
      <c r="P433" s="60" t="str">
        <f t="shared" si="59"/>
        <v>ADRAP</v>
      </c>
      <c r="Q433" s="61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3">
      <c r="A434" s="28">
        <v>1498</v>
      </c>
      <c r="B434" s="28">
        <v>141976</v>
      </c>
      <c r="C434" s="129" t="s">
        <v>730</v>
      </c>
      <c r="D434" s="128" t="s">
        <v>97</v>
      </c>
      <c r="E434" s="128" t="s">
        <v>145</v>
      </c>
      <c r="F434" s="29">
        <v>32538</v>
      </c>
      <c r="G434" s="56" t="str">
        <f t="shared" ca="1" si="60"/>
        <v>Sénior</v>
      </c>
      <c r="H434" s="28">
        <f t="shared" ca="1" si="61"/>
        <v>32</v>
      </c>
      <c r="J434" s="38" t="str">
        <f t="shared" si="55"/>
        <v>Joaquim Lopes</v>
      </c>
      <c r="K434" s="39">
        <f t="shared" si="56"/>
        <v>1498</v>
      </c>
      <c r="L434" s="39">
        <f t="shared" si="57"/>
        <v>141976</v>
      </c>
      <c r="M434" s="40">
        <f t="shared" si="62"/>
        <v>32538</v>
      </c>
      <c r="N434" s="41" t="str">
        <f t="shared" ca="1" si="63"/>
        <v>Sénior</v>
      </c>
      <c r="O434" s="41" t="str">
        <f t="shared" si="58"/>
        <v>M</v>
      </c>
      <c r="P434" s="60" t="str">
        <f t="shared" si="59"/>
        <v>ADRAP</v>
      </c>
      <c r="Q434" s="61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3">
      <c r="A435" s="28">
        <v>1497</v>
      </c>
      <c r="B435" s="28">
        <v>127548</v>
      </c>
      <c r="C435" s="129" t="s">
        <v>1597</v>
      </c>
      <c r="D435" s="128" t="s">
        <v>97</v>
      </c>
      <c r="E435" s="128" t="s">
        <v>145</v>
      </c>
      <c r="F435" s="29">
        <v>34985</v>
      </c>
      <c r="G435" s="56" t="str">
        <f t="shared" ca="1" si="60"/>
        <v>Sénior</v>
      </c>
      <c r="H435" s="28">
        <f t="shared" ca="1" si="61"/>
        <v>25</v>
      </c>
      <c r="J435" s="38" t="str">
        <f t="shared" si="55"/>
        <v>Miguel A. Gouveia</v>
      </c>
      <c r="K435" s="39">
        <f t="shared" si="56"/>
        <v>1497</v>
      </c>
      <c r="L435" s="39">
        <f t="shared" si="57"/>
        <v>127548</v>
      </c>
      <c r="M435" s="40">
        <f t="shared" si="62"/>
        <v>34985</v>
      </c>
      <c r="N435" s="41" t="str">
        <f t="shared" ca="1" si="63"/>
        <v>Sénior</v>
      </c>
      <c r="O435" s="41" t="str">
        <f t="shared" si="58"/>
        <v>M</v>
      </c>
      <c r="P435" s="60" t="str">
        <f t="shared" si="59"/>
        <v>ADRAP</v>
      </c>
      <c r="Q435" s="61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3">
      <c r="A436" s="28">
        <v>1496</v>
      </c>
      <c r="B436" s="28">
        <v>142125</v>
      </c>
      <c r="C436" s="129" t="s">
        <v>937</v>
      </c>
      <c r="D436" s="128" t="s">
        <v>97</v>
      </c>
      <c r="E436" s="128" t="s">
        <v>145</v>
      </c>
      <c r="F436" s="29">
        <v>31748</v>
      </c>
      <c r="G436" s="56" t="str">
        <f t="shared" ca="1" si="60"/>
        <v>Sénior</v>
      </c>
      <c r="H436" s="28">
        <f t="shared" ca="1" si="61"/>
        <v>34</v>
      </c>
      <c r="J436" s="38" t="str">
        <f t="shared" si="55"/>
        <v>João Tiago Costa</v>
      </c>
      <c r="K436" s="39">
        <f t="shared" si="56"/>
        <v>1496</v>
      </c>
      <c r="L436" s="39">
        <f t="shared" si="57"/>
        <v>142125</v>
      </c>
      <c r="M436" s="40">
        <f t="shared" si="62"/>
        <v>31748</v>
      </c>
      <c r="N436" s="41" t="str">
        <f t="shared" ca="1" si="63"/>
        <v>Sénior</v>
      </c>
      <c r="O436" s="41" t="str">
        <f t="shared" si="58"/>
        <v>M</v>
      </c>
      <c r="P436" s="60" t="str">
        <f t="shared" si="59"/>
        <v>ADRAP</v>
      </c>
      <c r="Q436" s="61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3">
      <c r="A437" s="28">
        <v>1475</v>
      </c>
      <c r="B437" s="28">
        <v>129158</v>
      </c>
      <c r="C437" s="129" t="s">
        <v>938</v>
      </c>
      <c r="D437" s="128" t="s">
        <v>97</v>
      </c>
      <c r="E437" s="128" t="s">
        <v>145</v>
      </c>
      <c r="F437" s="29">
        <v>31030</v>
      </c>
      <c r="G437" s="56" t="str">
        <f t="shared" ca="1" si="60"/>
        <v>V 35</v>
      </c>
      <c r="H437" s="28">
        <f t="shared" ca="1" si="61"/>
        <v>36</v>
      </c>
      <c r="J437" s="38" t="str">
        <f t="shared" si="55"/>
        <v>Sílvio Cró</v>
      </c>
      <c r="K437" s="39">
        <f t="shared" si="56"/>
        <v>1475</v>
      </c>
      <c r="L437" s="39">
        <f t="shared" si="57"/>
        <v>129158</v>
      </c>
      <c r="M437" s="40">
        <f t="shared" si="62"/>
        <v>31030</v>
      </c>
      <c r="N437" s="41" t="str">
        <f t="shared" ca="1" si="63"/>
        <v>V 35</v>
      </c>
      <c r="O437" s="41" t="str">
        <f t="shared" si="58"/>
        <v>M</v>
      </c>
      <c r="P437" s="60" t="str">
        <f t="shared" si="59"/>
        <v>ADRAP</v>
      </c>
      <c r="Q437" s="61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3">
      <c r="A438" s="28">
        <v>1463</v>
      </c>
      <c r="B438" s="28">
        <v>149855</v>
      </c>
      <c r="C438" s="129" t="s">
        <v>811</v>
      </c>
      <c r="D438" s="128" t="s">
        <v>97</v>
      </c>
      <c r="E438" s="128" t="s">
        <v>145</v>
      </c>
      <c r="F438" s="29">
        <v>26401</v>
      </c>
      <c r="G438" s="56" t="str">
        <f t="shared" ca="1" si="60"/>
        <v>V 45</v>
      </c>
      <c r="H438" s="28">
        <f t="shared" ca="1" si="61"/>
        <v>49</v>
      </c>
      <c r="J438" s="38" t="str">
        <f t="shared" si="55"/>
        <v>Mauro Gomes</v>
      </c>
      <c r="K438" s="39">
        <f t="shared" si="56"/>
        <v>1463</v>
      </c>
      <c r="L438" s="39">
        <f t="shared" si="57"/>
        <v>149855</v>
      </c>
      <c r="M438" s="40">
        <f t="shared" si="62"/>
        <v>26401</v>
      </c>
      <c r="N438" s="41" t="str">
        <f t="shared" ca="1" si="63"/>
        <v>V 45</v>
      </c>
      <c r="O438" s="41" t="str">
        <f t="shared" si="58"/>
        <v>M</v>
      </c>
      <c r="P438" s="60" t="str">
        <f t="shared" si="59"/>
        <v>ADRAP</v>
      </c>
      <c r="Q438" s="61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3">
      <c r="A439" s="28">
        <v>1467</v>
      </c>
      <c r="B439" s="28">
        <v>127330</v>
      </c>
      <c r="C439" s="129" t="s">
        <v>503</v>
      </c>
      <c r="D439" s="128" t="s">
        <v>97</v>
      </c>
      <c r="E439" s="128" t="s">
        <v>145</v>
      </c>
      <c r="F439" s="29">
        <v>29014</v>
      </c>
      <c r="G439" s="56" t="str">
        <f t="shared" ca="1" si="60"/>
        <v>V 40</v>
      </c>
      <c r="H439" s="28">
        <f t="shared" ca="1" si="61"/>
        <v>41</v>
      </c>
      <c r="J439" s="38" t="str">
        <f t="shared" si="55"/>
        <v>José Abreu</v>
      </c>
      <c r="K439" s="39">
        <f t="shared" si="56"/>
        <v>1467</v>
      </c>
      <c r="L439" s="39">
        <f t="shared" si="57"/>
        <v>127330</v>
      </c>
      <c r="M439" s="40">
        <f t="shared" si="62"/>
        <v>29014</v>
      </c>
      <c r="N439" s="41" t="str">
        <f t="shared" ca="1" si="63"/>
        <v>V 40</v>
      </c>
      <c r="O439" s="41" t="str">
        <f t="shared" si="58"/>
        <v>M</v>
      </c>
      <c r="P439" s="60" t="str">
        <f t="shared" si="59"/>
        <v>ADRAP</v>
      </c>
      <c r="Q439" s="61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3">
      <c r="A440" s="28">
        <v>1474</v>
      </c>
      <c r="B440" s="28">
        <v>136228</v>
      </c>
      <c r="C440" s="129" t="s">
        <v>418</v>
      </c>
      <c r="D440" s="128" t="s">
        <v>97</v>
      </c>
      <c r="E440" s="128" t="s">
        <v>145</v>
      </c>
      <c r="F440" s="29">
        <v>29938</v>
      </c>
      <c r="G440" s="56" t="str">
        <f t="shared" ca="1" si="60"/>
        <v>V 35</v>
      </c>
      <c r="H440" s="28">
        <f t="shared" ca="1" si="61"/>
        <v>39</v>
      </c>
      <c r="J440" s="38" t="str">
        <f t="shared" si="55"/>
        <v>Márcio Castro</v>
      </c>
      <c r="K440" s="39">
        <f t="shared" si="56"/>
        <v>1474</v>
      </c>
      <c r="L440" s="39">
        <f t="shared" si="57"/>
        <v>136228</v>
      </c>
      <c r="M440" s="40">
        <f t="shared" si="62"/>
        <v>29938</v>
      </c>
      <c r="N440" s="41" t="str">
        <f t="shared" ca="1" si="63"/>
        <v>V 35</v>
      </c>
      <c r="O440" s="41" t="str">
        <f t="shared" si="58"/>
        <v>M</v>
      </c>
      <c r="P440" s="60" t="str">
        <f t="shared" si="59"/>
        <v>ADRAP</v>
      </c>
      <c r="Q440" s="61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3">
      <c r="A441" s="28">
        <v>1495</v>
      </c>
      <c r="B441" s="28">
        <v>149291</v>
      </c>
      <c r="C441" s="129" t="s">
        <v>1362</v>
      </c>
      <c r="D441" s="128" t="s">
        <v>97</v>
      </c>
      <c r="E441" s="128" t="s">
        <v>145</v>
      </c>
      <c r="F441" s="29">
        <v>33170</v>
      </c>
      <c r="G441" s="56" t="str">
        <f t="shared" ca="1" si="60"/>
        <v>Sénior</v>
      </c>
      <c r="H441" s="28">
        <f t="shared" ca="1" si="61"/>
        <v>30</v>
      </c>
      <c r="J441" s="38" t="str">
        <f t="shared" si="55"/>
        <v>Mário André Pereira</v>
      </c>
      <c r="K441" s="39">
        <f t="shared" si="56"/>
        <v>1495</v>
      </c>
      <c r="L441" s="39">
        <f t="shared" si="57"/>
        <v>149291</v>
      </c>
      <c r="M441" s="40">
        <f t="shared" si="62"/>
        <v>33170</v>
      </c>
      <c r="N441" s="41" t="str">
        <f t="shared" ca="1" si="63"/>
        <v>Sénior</v>
      </c>
      <c r="O441" s="41" t="str">
        <f t="shared" si="58"/>
        <v>M</v>
      </c>
      <c r="P441" s="60" t="str">
        <f t="shared" si="59"/>
        <v>ADRAP</v>
      </c>
      <c r="Q441" s="6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3">
      <c r="A442" s="28">
        <v>1494</v>
      </c>
      <c r="B442" s="28">
        <v>126354</v>
      </c>
      <c r="C442" s="129" t="s">
        <v>589</v>
      </c>
      <c r="D442" s="128" t="s">
        <v>97</v>
      </c>
      <c r="E442" s="128" t="s">
        <v>145</v>
      </c>
      <c r="F442" s="29">
        <v>31563</v>
      </c>
      <c r="G442" s="56" t="str">
        <f t="shared" ca="1" si="60"/>
        <v>Sénior</v>
      </c>
      <c r="H442" s="28">
        <f t="shared" ca="1" si="61"/>
        <v>34</v>
      </c>
      <c r="J442" s="38" t="str">
        <f t="shared" si="55"/>
        <v>Tiago F. Silva</v>
      </c>
      <c r="K442" s="39">
        <f t="shared" si="56"/>
        <v>1494</v>
      </c>
      <c r="L442" s="39">
        <f t="shared" si="57"/>
        <v>126354</v>
      </c>
      <c r="M442" s="40">
        <f t="shared" si="62"/>
        <v>31563</v>
      </c>
      <c r="N442" s="41" t="str">
        <f t="shared" ca="1" si="63"/>
        <v>Sénior</v>
      </c>
      <c r="O442" s="41" t="str">
        <f t="shared" si="58"/>
        <v>M</v>
      </c>
      <c r="P442" s="60" t="str">
        <f t="shared" si="59"/>
        <v>ADRAP</v>
      </c>
      <c r="Q442" s="61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3">
      <c r="A443" s="28">
        <v>1493</v>
      </c>
      <c r="B443" s="28">
        <v>123287</v>
      </c>
      <c r="C443" s="129" t="s">
        <v>1594</v>
      </c>
      <c r="D443" s="128" t="s">
        <v>97</v>
      </c>
      <c r="E443" s="128" t="s">
        <v>145</v>
      </c>
      <c r="F443" s="29">
        <v>34839</v>
      </c>
      <c r="G443" s="56" t="str">
        <f t="shared" ca="1" si="60"/>
        <v>Sénior</v>
      </c>
      <c r="H443" s="28">
        <f t="shared" ca="1" si="61"/>
        <v>25</v>
      </c>
      <c r="J443" s="38" t="str">
        <f t="shared" si="55"/>
        <v>Diogo Mestre</v>
      </c>
      <c r="K443" s="39">
        <f t="shared" si="56"/>
        <v>1493</v>
      </c>
      <c r="L443" s="39">
        <f t="shared" si="57"/>
        <v>123287</v>
      </c>
      <c r="M443" s="40">
        <f t="shared" si="62"/>
        <v>34839</v>
      </c>
      <c r="N443" s="41" t="str">
        <f t="shared" ca="1" si="63"/>
        <v>Sénior</v>
      </c>
      <c r="O443" s="41" t="str">
        <f t="shared" si="58"/>
        <v>M</v>
      </c>
      <c r="P443" s="60" t="str">
        <f t="shared" si="59"/>
        <v>ADRAP</v>
      </c>
      <c r="Q443" s="61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3">
      <c r="A444" s="28">
        <v>986</v>
      </c>
      <c r="B444" s="28">
        <v>162796</v>
      </c>
      <c r="C444" s="129" t="s">
        <v>1527</v>
      </c>
      <c r="D444" s="128" t="s">
        <v>1241</v>
      </c>
      <c r="E444" s="128" t="s">
        <v>145</v>
      </c>
      <c r="F444" s="29">
        <v>32760</v>
      </c>
      <c r="G444" s="56" t="str">
        <f t="shared" ca="1" si="60"/>
        <v>Sénior</v>
      </c>
      <c r="H444" s="28">
        <f t="shared" ca="1" si="61"/>
        <v>31</v>
      </c>
      <c r="J444" s="38" t="str">
        <f t="shared" si="55"/>
        <v>Tiago M. Coelho</v>
      </c>
      <c r="K444" s="39">
        <f t="shared" si="56"/>
        <v>986</v>
      </c>
      <c r="L444" s="39">
        <f t="shared" si="57"/>
        <v>162796</v>
      </c>
      <c r="M444" s="40">
        <f t="shared" si="62"/>
        <v>32760</v>
      </c>
      <c r="N444" s="41" t="str">
        <f t="shared" ca="1" si="63"/>
        <v>Sénior</v>
      </c>
      <c r="O444" s="41" t="str">
        <f t="shared" si="58"/>
        <v>M</v>
      </c>
      <c r="P444" s="60" t="str">
        <f t="shared" si="59"/>
        <v>GRCC</v>
      </c>
      <c r="Q444" s="61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3">
      <c r="A445" s="28">
        <v>985</v>
      </c>
      <c r="B445" s="28">
        <v>162765</v>
      </c>
      <c r="C445" s="129" t="s">
        <v>1528</v>
      </c>
      <c r="D445" s="128" t="s">
        <v>1241</v>
      </c>
      <c r="E445" s="128" t="s">
        <v>145</v>
      </c>
      <c r="F445" s="29">
        <v>34675</v>
      </c>
      <c r="G445" s="56" t="str">
        <f t="shared" ca="1" si="60"/>
        <v>Sénior</v>
      </c>
      <c r="H445" s="28">
        <f t="shared" ca="1" si="61"/>
        <v>26</v>
      </c>
      <c r="J445" s="38" t="str">
        <f t="shared" si="55"/>
        <v>Duarte Santos</v>
      </c>
      <c r="K445" s="39">
        <f t="shared" si="56"/>
        <v>985</v>
      </c>
      <c r="L445" s="39">
        <f t="shared" si="57"/>
        <v>162765</v>
      </c>
      <c r="M445" s="40">
        <f t="shared" si="62"/>
        <v>34675</v>
      </c>
      <c r="N445" s="41" t="str">
        <f t="shared" ca="1" si="63"/>
        <v>Sénior</v>
      </c>
      <c r="O445" s="41" t="str">
        <f t="shared" si="58"/>
        <v>M</v>
      </c>
      <c r="P445" s="60" t="str">
        <f t="shared" si="59"/>
        <v>GRCC</v>
      </c>
      <c r="Q445" s="61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3">
      <c r="A446" s="28">
        <v>228</v>
      </c>
      <c r="B446" s="28">
        <v>160755</v>
      </c>
      <c r="C446" s="129" t="s">
        <v>1523</v>
      </c>
      <c r="D446" s="128" t="s">
        <v>1241</v>
      </c>
      <c r="E446" s="128" t="s">
        <v>146</v>
      </c>
      <c r="F446" s="29">
        <v>33442</v>
      </c>
      <c r="G446" s="56" t="str">
        <f t="shared" ca="1" si="60"/>
        <v>Sénior</v>
      </c>
      <c r="H446" s="28">
        <f t="shared" ca="1" si="61"/>
        <v>29</v>
      </c>
      <c r="J446" s="38" t="str">
        <f t="shared" si="55"/>
        <v>Cláudia Carvalho</v>
      </c>
      <c r="K446" s="39">
        <f t="shared" si="56"/>
        <v>228</v>
      </c>
      <c r="L446" s="39">
        <f t="shared" si="57"/>
        <v>160755</v>
      </c>
      <c r="M446" s="40">
        <f t="shared" si="62"/>
        <v>33442</v>
      </c>
      <c r="N446" s="41" t="str">
        <f t="shared" ca="1" si="63"/>
        <v>Sénior</v>
      </c>
      <c r="O446" s="41" t="str">
        <f t="shared" si="58"/>
        <v>F</v>
      </c>
      <c r="P446" s="60" t="str">
        <f t="shared" si="59"/>
        <v>GRCC</v>
      </c>
      <c r="Q446" s="61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3">
      <c r="A447" s="28">
        <v>229</v>
      </c>
      <c r="B447" s="28">
        <v>144656</v>
      </c>
      <c r="C447" s="129" t="s">
        <v>1524</v>
      </c>
      <c r="D447" s="128" t="s">
        <v>1241</v>
      </c>
      <c r="E447" s="128" t="s">
        <v>146</v>
      </c>
      <c r="F447" s="29">
        <v>34316</v>
      </c>
      <c r="G447" s="56" t="str">
        <f t="shared" ca="1" si="60"/>
        <v>Sénior</v>
      </c>
      <c r="H447" s="28">
        <f t="shared" ca="1" si="61"/>
        <v>27</v>
      </c>
      <c r="J447" s="38" t="str">
        <f t="shared" si="55"/>
        <v>Ana Gama</v>
      </c>
      <c r="K447" s="39">
        <f t="shared" si="56"/>
        <v>229</v>
      </c>
      <c r="L447" s="39">
        <f t="shared" si="57"/>
        <v>144656</v>
      </c>
      <c r="M447" s="40">
        <f t="shared" si="62"/>
        <v>34316</v>
      </c>
      <c r="N447" s="41" t="str">
        <f t="shared" ca="1" si="63"/>
        <v>Sénior</v>
      </c>
      <c r="O447" s="41" t="str">
        <f t="shared" si="58"/>
        <v>F</v>
      </c>
      <c r="P447" s="60" t="str">
        <f t="shared" si="59"/>
        <v>GRCC</v>
      </c>
      <c r="Q447" s="61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3">
      <c r="A448" s="28">
        <v>1185</v>
      </c>
      <c r="B448" s="28">
        <v>125893</v>
      </c>
      <c r="C448" s="129" t="s">
        <v>100</v>
      </c>
      <c r="D448" s="128" t="s">
        <v>545</v>
      </c>
      <c r="E448" s="128" t="s">
        <v>145</v>
      </c>
      <c r="F448" s="29">
        <v>32549</v>
      </c>
      <c r="G448" s="56" t="str">
        <f t="shared" ca="1" si="60"/>
        <v>Sénior</v>
      </c>
      <c r="H448" s="28">
        <f t="shared" ca="1" si="61"/>
        <v>32</v>
      </c>
      <c r="J448" s="38" t="str">
        <f t="shared" si="55"/>
        <v>Bruno Silva</v>
      </c>
      <c r="K448" s="39">
        <f t="shared" si="56"/>
        <v>1185</v>
      </c>
      <c r="L448" s="39">
        <f t="shared" si="57"/>
        <v>125893</v>
      </c>
      <c r="M448" s="40">
        <f t="shared" si="62"/>
        <v>32549</v>
      </c>
      <c r="N448" s="41" t="str">
        <f t="shared" ca="1" si="63"/>
        <v>Sénior</v>
      </c>
      <c r="O448" s="41" t="str">
        <f t="shared" si="58"/>
        <v>M</v>
      </c>
      <c r="P448" s="60" t="str">
        <f t="shared" si="59"/>
        <v>CEE-M</v>
      </c>
      <c r="Q448" s="61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3">
      <c r="A449" s="28">
        <v>1169</v>
      </c>
      <c r="B449" s="28">
        <v>152318</v>
      </c>
      <c r="C449" s="129" t="s">
        <v>870</v>
      </c>
      <c r="D449" s="128" t="s">
        <v>545</v>
      </c>
      <c r="E449" s="128" t="s">
        <v>145</v>
      </c>
      <c r="F449" s="29">
        <v>28589</v>
      </c>
      <c r="G449" s="56" t="str">
        <f t="shared" ca="1" si="60"/>
        <v>V 40</v>
      </c>
      <c r="H449" s="28">
        <f t="shared" ca="1" si="61"/>
        <v>43</v>
      </c>
      <c r="J449" s="38" t="str">
        <f t="shared" si="55"/>
        <v>Joel Viana</v>
      </c>
      <c r="K449" s="39">
        <f t="shared" si="56"/>
        <v>1169</v>
      </c>
      <c r="L449" s="39">
        <f t="shared" si="57"/>
        <v>152318</v>
      </c>
      <c r="M449" s="40">
        <f t="shared" si="62"/>
        <v>28589</v>
      </c>
      <c r="N449" s="41" t="str">
        <f t="shared" ca="1" si="63"/>
        <v>V 40</v>
      </c>
      <c r="O449" s="41" t="str">
        <f t="shared" si="58"/>
        <v>M</v>
      </c>
      <c r="P449" s="60" t="str">
        <f t="shared" si="59"/>
        <v>CEE-M</v>
      </c>
      <c r="Q449" s="61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3">
      <c r="A450" s="28">
        <v>1166</v>
      </c>
      <c r="B450" s="28">
        <v>125142</v>
      </c>
      <c r="C450" s="129" t="s">
        <v>1550</v>
      </c>
      <c r="D450" s="128" t="s">
        <v>545</v>
      </c>
      <c r="E450" s="128" t="s">
        <v>145</v>
      </c>
      <c r="F450" s="29">
        <v>26365</v>
      </c>
      <c r="G450" s="56" t="str">
        <f t="shared" ca="1" si="60"/>
        <v>V 45</v>
      </c>
      <c r="H450" s="28">
        <f t="shared" ca="1" si="61"/>
        <v>49</v>
      </c>
      <c r="J450" s="38" t="str">
        <f t="shared" ref="J450:J513" si="64">C450</f>
        <v>Rui Pita</v>
      </c>
      <c r="K450" s="39">
        <f t="shared" ref="K450:K513" si="65">A450</f>
        <v>1166</v>
      </c>
      <c r="L450" s="39">
        <f t="shared" ref="L450:L513" si="66">B450</f>
        <v>125142</v>
      </c>
      <c r="M450" s="40">
        <f t="shared" si="62"/>
        <v>26365</v>
      </c>
      <c r="N450" s="41" t="str">
        <f t="shared" ca="1" si="63"/>
        <v>V 45</v>
      </c>
      <c r="O450" s="41" t="str">
        <f t="shared" ref="O450:O513" si="67">E450</f>
        <v>M</v>
      </c>
      <c r="P450" s="60" t="str">
        <f t="shared" ref="P450:P513" si="68">D450</f>
        <v>CEE-M</v>
      </c>
      <c r="Q450" s="61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3">
      <c r="A451" s="28">
        <v>143</v>
      </c>
      <c r="B451" s="28">
        <v>163404</v>
      </c>
      <c r="C451" s="129" t="s">
        <v>1543</v>
      </c>
      <c r="D451" s="128" t="s">
        <v>545</v>
      </c>
      <c r="E451" s="128" t="s">
        <v>146</v>
      </c>
      <c r="F451" s="29">
        <v>28761</v>
      </c>
      <c r="G451" s="5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B",IF(YEAR(TODAY())-YEAR(F451)&lt;14,"Infantil",IF(YEAR(TODAY())-YEAR(F451)&lt;16,"Iniciado",IF(YEAR(TODAY())-YEAR(F451)&lt;18,"Juvenil",IF(YEAR(TODAY())-YEAR(F451)&lt;20,"Júnior",IF(YEAR(TODAY())-YEAR(F451)&lt;23,"sub 23",IF(ROUNDDOWN(INT(TODAY()-F451)/365.25,0)&lt;35,"Sénior",IF(ROUNDDOWN(INT(TODAY()-F451)/365.25,0)&lt;40,"V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65",IF(ROUNDDOWN(INT(TODAY()-F451)/365.25,0)&lt;75,"V 70",IF(ROUNDDOWN(INT(TODAY()-F451)/365.25,0)&lt;80,"V 75",IF(ROUNDDOWN(INT(TODAY()-F451)/365.25,0)&lt;85,"V 80",IF(ROUNDDOWN(INT(TODAY()-F451)/365.25,0)&lt;90,"V 85",IF(ROUNDDOWN(INT(TODAY()-F451)/365.25,0)&lt;95,"V 90",IF(ROUNDDOWN(INT(TODAY()-F451)/365.25,0)&lt;100,"V 95",IF(ROUNDDOWN(INT(TODAY()-F451)/365.25,0)&gt;=100,"V 100",""))))))))))))))))))))))),"")</f>
        <v>V 40</v>
      </c>
      <c r="H451" s="28">
        <f t="shared" ref="H451:H514" ca="1" si="70">IFERROR(IF($A451&gt;0,ROUNDDOWN(INT(TODAY()-F451)/365.25,0),""),"")</f>
        <v>42</v>
      </c>
      <c r="J451" s="38" t="str">
        <f t="shared" si="64"/>
        <v>Sónia I. Abreu</v>
      </c>
      <c r="K451" s="39">
        <f t="shared" si="65"/>
        <v>143</v>
      </c>
      <c r="L451" s="39">
        <f t="shared" si="66"/>
        <v>163404</v>
      </c>
      <c r="M451" s="40">
        <f t="shared" ref="M451:M514" si="71">F451</f>
        <v>28761</v>
      </c>
      <c r="N451" s="41" t="str">
        <f t="shared" ref="N451:N514" ca="1" si="72">G451</f>
        <v>V 40</v>
      </c>
      <c r="O451" s="41" t="str">
        <f t="shared" si="67"/>
        <v>F</v>
      </c>
      <c r="P451" s="60" t="str">
        <f t="shared" si="68"/>
        <v>CEE-M</v>
      </c>
      <c r="Q451" s="6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3">
      <c r="A452" s="28">
        <v>144</v>
      </c>
      <c r="B452" s="28">
        <v>163445</v>
      </c>
      <c r="C452" s="129" t="s">
        <v>1544</v>
      </c>
      <c r="D452" s="128" t="s">
        <v>545</v>
      </c>
      <c r="E452" s="128" t="s">
        <v>146</v>
      </c>
      <c r="F452" s="29">
        <v>28564</v>
      </c>
      <c r="G452" s="56" t="str">
        <f t="shared" ca="1" si="69"/>
        <v>V 40</v>
      </c>
      <c r="H452" s="28">
        <f t="shared" ca="1" si="70"/>
        <v>43</v>
      </c>
      <c r="J452" s="38" t="str">
        <f t="shared" si="64"/>
        <v>Maria O. Silva</v>
      </c>
      <c r="K452" s="39">
        <f t="shared" si="65"/>
        <v>144</v>
      </c>
      <c r="L452" s="39">
        <f t="shared" si="66"/>
        <v>163445</v>
      </c>
      <c r="M452" s="40">
        <f t="shared" si="71"/>
        <v>28564</v>
      </c>
      <c r="N452" s="41" t="str">
        <f t="shared" ca="1" si="72"/>
        <v>V 40</v>
      </c>
      <c r="O452" s="41" t="str">
        <f t="shared" si="67"/>
        <v>F</v>
      </c>
      <c r="P452" s="60" t="str">
        <f t="shared" si="68"/>
        <v>CEE-M</v>
      </c>
      <c r="Q452" s="61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3">
      <c r="A453" s="28">
        <v>1567</v>
      </c>
      <c r="B453" s="28">
        <v>128826</v>
      </c>
      <c r="C453" s="129" t="s">
        <v>1331</v>
      </c>
      <c r="D453" s="128" t="s">
        <v>124</v>
      </c>
      <c r="E453" s="128" t="s">
        <v>146</v>
      </c>
      <c r="F453" s="29">
        <v>37692</v>
      </c>
      <c r="G453" s="56" t="str">
        <f t="shared" ca="1" si="69"/>
        <v>Júnior</v>
      </c>
      <c r="H453" s="28">
        <f t="shared" ca="1" si="70"/>
        <v>18</v>
      </c>
      <c r="J453" s="38" t="str">
        <f t="shared" si="64"/>
        <v>Joana Viveiros</v>
      </c>
      <c r="K453" s="39">
        <f t="shared" si="65"/>
        <v>1567</v>
      </c>
      <c r="L453" s="39">
        <f t="shared" si="66"/>
        <v>128826</v>
      </c>
      <c r="M453" s="40">
        <f t="shared" si="71"/>
        <v>37692</v>
      </c>
      <c r="N453" s="41" t="str">
        <f t="shared" ca="1" si="72"/>
        <v>Júnior</v>
      </c>
      <c r="O453" s="41" t="str">
        <f t="shared" si="67"/>
        <v>F</v>
      </c>
      <c r="P453" s="60" t="str">
        <f t="shared" si="68"/>
        <v>CSM</v>
      </c>
      <c r="Q453" s="61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3">
      <c r="A454" s="28">
        <v>1035</v>
      </c>
      <c r="B454" s="28">
        <v>126413</v>
      </c>
      <c r="C454" s="129" t="s">
        <v>250</v>
      </c>
      <c r="D454" s="128" t="s">
        <v>124</v>
      </c>
      <c r="E454" s="128" t="s">
        <v>145</v>
      </c>
      <c r="F454" s="29">
        <v>35923</v>
      </c>
      <c r="G454" s="56" t="str">
        <f t="shared" ca="1" si="69"/>
        <v>Sénior</v>
      </c>
      <c r="H454" s="28">
        <f t="shared" ca="1" si="70"/>
        <v>22</v>
      </c>
      <c r="J454" s="38" t="str">
        <f t="shared" si="64"/>
        <v>Bruno Viveiros</v>
      </c>
      <c r="K454" s="39">
        <f t="shared" si="65"/>
        <v>1035</v>
      </c>
      <c r="L454" s="39">
        <f t="shared" si="66"/>
        <v>126413</v>
      </c>
      <c r="M454" s="40">
        <f t="shared" si="71"/>
        <v>35923</v>
      </c>
      <c r="N454" s="41" t="str">
        <f t="shared" ca="1" si="72"/>
        <v>Sénior</v>
      </c>
      <c r="O454" s="41" t="str">
        <f t="shared" si="67"/>
        <v>M</v>
      </c>
      <c r="P454" s="60" t="str">
        <f t="shared" si="68"/>
        <v>CSM</v>
      </c>
      <c r="Q454" s="61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3">
      <c r="A455" s="28">
        <v>202</v>
      </c>
      <c r="B455" s="28">
        <v>134123</v>
      </c>
      <c r="C455" s="129" t="s">
        <v>803</v>
      </c>
      <c r="D455" s="128" t="s">
        <v>124</v>
      </c>
      <c r="E455" s="128" t="s">
        <v>146</v>
      </c>
      <c r="F455" s="29">
        <v>33433</v>
      </c>
      <c r="G455" s="56" t="str">
        <f t="shared" ca="1" si="69"/>
        <v>Sénior</v>
      </c>
      <c r="H455" s="28">
        <f t="shared" ca="1" si="70"/>
        <v>29</v>
      </c>
      <c r="J455" s="38" t="str">
        <f t="shared" si="64"/>
        <v>Daniela Teixeira</v>
      </c>
      <c r="K455" s="39">
        <f t="shared" si="65"/>
        <v>202</v>
      </c>
      <c r="L455" s="39">
        <f t="shared" si="66"/>
        <v>134123</v>
      </c>
      <c r="M455" s="40">
        <f t="shared" si="71"/>
        <v>33433</v>
      </c>
      <c r="N455" s="41" t="str">
        <f t="shared" ca="1" si="72"/>
        <v>Sénior</v>
      </c>
      <c r="O455" s="41" t="str">
        <f t="shared" si="67"/>
        <v>F</v>
      </c>
      <c r="P455" s="60" t="str">
        <f t="shared" si="68"/>
        <v>CSM</v>
      </c>
      <c r="Q455" s="61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3">
      <c r="A456" s="28">
        <v>2244</v>
      </c>
      <c r="B456" s="28">
        <v>155410</v>
      </c>
      <c r="C456" s="129" t="s">
        <v>1032</v>
      </c>
      <c r="D456" s="128" t="s">
        <v>123</v>
      </c>
      <c r="E456" s="128" t="s">
        <v>145</v>
      </c>
      <c r="F456" s="29">
        <v>40556</v>
      </c>
      <c r="G456" s="56" t="str">
        <f t="shared" ca="1" si="69"/>
        <v>Benjamim B</v>
      </c>
      <c r="H456" s="28">
        <f t="shared" ca="1" si="70"/>
        <v>10</v>
      </c>
      <c r="J456" s="38" t="str">
        <f t="shared" si="64"/>
        <v>David Rodrigues</v>
      </c>
      <c r="K456" s="39">
        <f t="shared" si="65"/>
        <v>2244</v>
      </c>
      <c r="L456" s="39">
        <f t="shared" si="66"/>
        <v>155410</v>
      </c>
      <c r="M456" s="40">
        <f t="shared" si="71"/>
        <v>40556</v>
      </c>
      <c r="N456" s="41" t="str">
        <f t="shared" ca="1" si="72"/>
        <v>Benjamim B</v>
      </c>
      <c r="O456" s="41" t="str">
        <f t="shared" si="67"/>
        <v>M</v>
      </c>
      <c r="P456" s="60" t="str">
        <f t="shared" si="68"/>
        <v>AJS</v>
      </c>
      <c r="Q456" s="61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3">
      <c r="A457" s="28">
        <v>1441</v>
      </c>
      <c r="B457" s="28">
        <v>127665</v>
      </c>
      <c r="C457" s="129" t="s">
        <v>1575</v>
      </c>
      <c r="D457" s="128" t="s">
        <v>123</v>
      </c>
      <c r="E457" s="128" t="s">
        <v>145</v>
      </c>
      <c r="F457" s="29">
        <v>36056</v>
      </c>
      <c r="G457" s="56" t="str">
        <f t="shared" ca="1" si="69"/>
        <v>Sénior</v>
      </c>
      <c r="H457" s="28">
        <f t="shared" ca="1" si="70"/>
        <v>22</v>
      </c>
      <c r="J457" s="38" t="str">
        <f t="shared" si="64"/>
        <v>João Esteves</v>
      </c>
      <c r="K457" s="39">
        <f t="shared" si="65"/>
        <v>1441</v>
      </c>
      <c r="L457" s="39">
        <f t="shared" si="66"/>
        <v>127665</v>
      </c>
      <c r="M457" s="40">
        <f t="shared" si="71"/>
        <v>36056</v>
      </c>
      <c r="N457" s="41" t="str">
        <f t="shared" ca="1" si="72"/>
        <v>Sénior</v>
      </c>
      <c r="O457" s="41" t="str">
        <f t="shared" si="67"/>
        <v>M</v>
      </c>
      <c r="P457" s="60" t="str">
        <f t="shared" si="68"/>
        <v>AJS</v>
      </c>
      <c r="Q457" s="61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3">
      <c r="A458" s="28">
        <v>42</v>
      </c>
      <c r="B458" s="28">
        <v>128544</v>
      </c>
      <c r="C458" s="129" t="s">
        <v>1561</v>
      </c>
      <c r="D458" s="128" t="s">
        <v>123</v>
      </c>
      <c r="E458" s="128" t="s">
        <v>146</v>
      </c>
      <c r="F458" s="29">
        <v>33921</v>
      </c>
      <c r="G458" s="56" t="str">
        <f t="shared" ca="1" si="69"/>
        <v>Sénior</v>
      </c>
      <c r="H458" s="28">
        <f t="shared" ca="1" si="70"/>
        <v>28</v>
      </c>
      <c r="J458" s="38" t="str">
        <f t="shared" si="64"/>
        <v>Filipa Martins</v>
      </c>
      <c r="K458" s="39">
        <f t="shared" si="65"/>
        <v>42</v>
      </c>
      <c r="L458" s="39">
        <f t="shared" si="66"/>
        <v>128544</v>
      </c>
      <c r="M458" s="40">
        <f t="shared" si="71"/>
        <v>33921</v>
      </c>
      <c r="N458" s="41" t="str">
        <f t="shared" ca="1" si="72"/>
        <v>Sénior</v>
      </c>
      <c r="O458" s="41" t="str">
        <f t="shared" si="67"/>
        <v>F</v>
      </c>
      <c r="P458" s="60" t="str">
        <f t="shared" si="68"/>
        <v>AJS</v>
      </c>
      <c r="Q458" s="61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3">
      <c r="A459" s="28">
        <v>2061</v>
      </c>
      <c r="B459" s="28">
        <v>157575</v>
      </c>
      <c r="C459" s="129" t="s">
        <v>1207</v>
      </c>
      <c r="D459" s="128" t="s">
        <v>123</v>
      </c>
      <c r="E459" s="128" t="s">
        <v>146</v>
      </c>
      <c r="F459" s="29">
        <v>40522</v>
      </c>
      <c r="G459" s="56" t="str">
        <f t="shared" ca="1" si="69"/>
        <v>Benjamim B</v>
      </c>
      <c r="H459" s="28">
        <f t="shared" ca="1" si="70"/>
        <v>10</v>
      </c>
      <c r="J459" s="38" t="str">
        <f t="shared" si="64"/>
        <v>Núria Neves</v>
      </c>
      <c r="K459" s="39">
        <f t="shared" si="65"/>
        <v>2061</v>
      </c>
      <c r="L459" s="39">
        <f t="shared" si="66"/>
        <v>157575</v>
      </c>
      <c r="M459" s="40">
        <f t="shared" si="71"/>
        <v>40522</v>
      </c>
      <c r="N459" s="41" t="str">
        <f t="shared" ca="1" si="72"/>
        <v>Benjamim B</v>
      </c>
      <c r="O459" s="41" t="str">
        <f t="shared" si="67"/>
        <v>F</v>
      </c>
      <c r="P459" s="60" t="str">
        <f t="shared" si="68"/>
        <v>AJS</v>
      </c>
      <c r="Q459" s="61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3">
      <c r="A460" s="28">
        <v>1402</v>
      </c>
      <c r="B460" s="28">
        <v>124595</v>
      </c>
      <c r="C460" s="129" t="s">
        <v>136</v>
      </c>
      <c r="D460" s="128" t="s">
        <v>123</v>
      </c>
      <c r="E460" s="128" t="s">
        <v>145</v>
      </c>
      <c r="F460" s="29">
        <v>25679</v>
      </c>
      <c r="G460" s="56" t="str">
        <f t="shared" ca="1" si="69"/>
        <v>V 50</v>
      </c>
      <c r="H460" s="28">
        <f t="shared" ca="1" si="70"/>
        <v>50</v>
      </c>
      <c r="J460" s="38" t="str">
        <f t="shared" si="64"/>
        <v>Carlos Nóbrega</v>
      </c>
      <c r="K460" s="39">
        <f t="shared" si="65"/>
        <v>1402</v>
      </c>
      <c r="L460" s="39">
        <f t="shared" si="66"/>
        <v>124595</v>
      </c>
      <c r="M460" s="40">
        <f t="shared" si="71"/>
        <v>25679</v>
      </c>
      <c r="N460" s="41" t="str">
        <f t="shared" ca="1" si="72"/>
        <v>V 50</v>
      </c>
      <c r="O460" s="41" t="str">
        <f t="shared" si="67"/>
        <v>M</v>
      </c>
      <c r="P460" s="60" t="str">
        <f t="shared" si="68"/>
        <v>AJS</v>
      </c>
      <c r="Q460" s="61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3">
      <c r="A461" s="28">
        <v>1408</v>
      </c>
      <c r="B461" s="28">
        <v>125491</v>
      </c>
      <c r="C461" s="129" t="s">
        <v>194</v>
      </c>
      <c r="D461" s="128" t="s">
        <v>123</v>
      </c>
      <c r="E461" s="128" t="s">
        <v>145</v>
      </c>
      <c r="F461" s="29">
        <v>27368</v>
      </c>
      <c r="G461" s="56" t="str">
        <f t="shared" ca="1" si="69"/>
        <v>V 45</v>
      </c>
      <c r="H461" s="28">
        <f t="shared" ca="1" si="70"/>
        <v>46</v>
      </c>
      <c r="J461" s="38" t="str">
        <f t="shared" si="64"/>
        <v>Fernando Faria</v>
      </c>
      <c r="K461" s="39">
        <f t="shared" si="65"/>
        <v>1408</v>
      </c>
      <c r="L461" s="39">
        <f t="shared" si="66"/>
        <v>125491</v>
      </c>
      <c r="M461" s="40">
        <f t="shared" si="71"/>
        <v>27368</v>
      </c>
      <c r="N461" s="41" t="str">
        <f t="shared" ca="1" si="72"/>
        <v>V 45</v>
      </c>
      <c r="O461" s="41" t="str">
        <f t="shared" si="67"/>
        <v>M</v>
      </c>
      <c r="P461" s="60" t="str">
        <f t="shared" si="68"/>
        <v>AJS</v>
      </c>
      <c r="Q461" s="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3">
      <c r="A462" s="28">
        <v>1440</v>
      </c>
      <c r="B462" s="28">
        <v>139645</v>
      </c>
      <c r="C462" s="129" t="s">
        <v>453</v>
      </c>
      <c r="D462" s="128" t="s">
        <v>123</v>
      </c>
      <c r="E462" s="128" t="s">
        <v>145</v>
      </c>
      <c r="F462" s="29">
        <v>32464</v>
      </c>
      <c r="G462" s="56" t="str">
        <f t="shared" ca="1" si="69"/>
        <v>Sénior</v>
      </c>
      <c r="H462" s="28">
        <f t="shared" ca="1" si="70"/>
        <v>32</v>
      </c>
      <c r="J462" s="38" t="str">
        <f t="shared" si="64"/>
        <v>César Ramos</v>
      </c>
      <c r="K462" s="39">
        <f t="shared" si="65"/>
        <v>1440</v>
      </c>
      <c r="L462" s="39">
        <f t="shared" si="66"/>
        <v>139645</v>
      </c>
      <c r="M462" s="40">
        <f t="shared" si="71"/>
        <v>32464</v>
      </c>
      <c r="N462" s="41" t="str">
        <f t="shared" ca="1" si="72"/>
        <v>Sénior</v>
      </c>
      <c r="O462" s="41" t="str">
        <f t="shared" si="67"/>
        <v>M</v>
      </c>
      <c r="P462" s="60" t="str">
        <f t="shared" si="68"/>
        <v>AJS</v>
      </c>
      <c r="Q462" s="61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3">
      <c r="A463" s="28">
        <v>1426</v>
      </c>
      <c r="B463" s="28">
        <v>125271</v>
      </c>
      <c r="C463" s="129" t="s">
        <v>121</v>
      </c>
      <c r="D463" s="128" t="s">
        <v>123</v>
      </c>
      <c r="E463" s="128" t="s">
        <v>145</v>
      </c>
      <c r="F463" s="29">
        <v>29678</v>
      </c>
      <c r="G463" s="56" t="str">
        <f t="shared" ca="1" si="69"/>
        <v>V 40</v>
      </c>
      <c r="H463" s="28">
        <f t="shared" ca="1" si="70"/>
        <v>40</v>
      </c>
      <c r="J463" s="38" t="str">
        <f t="shared" si="64"/>
        <v>Rubim Gonçalves</v>
      </c>
      <c r="K463" s="39">
        <f t="shared" si="65"/>
        <v>1426</v>
      </c>
      <c r="L463" s="39">
        <f t="shared" si="66"/>
        <v>125271</v>
      </c>
      <c r="M463" s="40">
        <f t="shared" si="71"/>
        <v>29678</v>
      </c>
      <c r="N463" s="41" t="str">
        <f t="shared" ca="1" si="72"/>
        <v>V 40</v>
      </c>
      <c r="O463" s="41" t="str">
        <f t="shared" si="67"/>
        <v>M</v>
      </c>
      <c r="P463" s="60" t="str">
        <f t="shared" si="68"/>
        <v>AJS</v>
      </c>
      <c r="Q463" s="61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3">
      <c r="A464" s="28">
        <v>1414</v>
      </c>
      <c r="B464" s="28">
        <v>125278</v>
      </c>
      <c r="C464" s="129" t="s">
        <v>393</v>
      </c>
      <c r="D464" s="128" t="s">
        <v>123</v>
      </c>
      <c r="E464" s="128" t="s">
        <v>145</v>
      </c>
      <c r="F464" s="29">
        <v>27953</v>
      </c>
      <c r="G464" s="56" t="str">
        <f t="shared" ca="1" si="69"/>
        <v>V 40</v>
      </c>
      <c r="H464" s="28">
        <f t="shared" ca="1" si="70"/>
        <v>44</v>
      </c>
      <c r="J464" s="38" t="str">
        <f t="shared" si="64"/>
        <v>Virgílio Ornelas</v>
      </c>
      <c r="K464" s="39">
        <f t="shared" si="65"/>
        <v>1414</v>
      </c>
      <c r="L464" s="39">
        <f t="shared" si="66"/>
        <v>125278</v>
      </c>
      <c r="M464" s="40">
        <f t="shared" si="71"/>
        <v>27953</v>
      </c>
      <c r="N464" s="41" t="str">
        <f t="shared" ca="1" si="72"/>
        <v>V 40</v>
      </c>
      <c r="O464" s="41" t="str">
        <f t="shared" si="67"/>
        <v>M</v>
      </c>
      <c r="P464" s="60" t="str">
        <f t="shared" si="68"/>
        <v>AJS</v>
      </c>
      <c r="Q464" s="61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3">
      <c r="A465" s="28">
        <v>58</v>
      </c>
      <c r="B465" s="28">
        <v>124982</v>
      </c>
      <c r="C465" s="129" t="s">
        <v>160</v>
      </c>
      <c r="D465" s="128" t="s">
        <v>123</v>
      </c>
      <c r="E465" s="128" t="s">
        <v>146</v>
      </c>
      <c r="F465" s="29">
        <v>29107</v>
      </c>
      <c r="G465" s="56" t="str">
        <f t="shared" ca="1" si="69"/>
        <v>V 40</v>
      </c>
      <c r="H465" s="28">
        <f t="shared" ca="1" si="70"/>
        <v>41</v>
      </c>
      <c r="J465" s="38" t="str">
        <f t="shared" si="64"/>
        <v>Olívia Sousa</v>
      </c>
      <c r="K465" s="39">
        <f t="shared" si="65"/>
        <v>58</v>
      </c>
      <c r="L465" s="39">
        <f t="shared" si="66"/>
        <v>124982</v>
      </c>
      <c r="M465" s="40">
        <f t="shared" si="71"/>
        <v>29107</v>
      </c>
      <c r="N465" s="41" t="str">
        <f t="shared" ca="1" si="72"/>
        <v>V 40</v>
      </c>
      <c r="O465" s="41" t="str">
        <f t="shared" si="67"/>
        <v>F</v>
      </c>
      <c r="P465" s="60" t="str">
        <f t="shared" si="68"/>
        <v>AJS</v>
      </c>
      <c r="Q465" s="61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3">
      <c r="A466" s="28">
        <v>1425</v>
      </c>
      <c r="B466" s="28">
        <v>137287</v>
      </c>
      <c r="C466" s="129" t="s">
        <v>840</v>
      </c>
      <c r="D466" s="128" t="s">
        <v>123</v>
      </c>
      <c r="E466" s="128" t="s">
        <v>145</v>
      </c>
      <c r="F466" s="29">
        <v>29994</v>
      </c>
      <c r="G466" s="56" t="str">
        <f t="shared" ca="1" si="69"/>
        <v>V 35</v>
      </c>
      <c r="H466" s="28">
        <f t="shared" ca="1" si="70"/>
        <v>39</v>
      </c>
      <c r="J466" s="38" t="str">
        <f t="shared" si="64"/>
        <v>Tiago Aires</v>
      </c>
      <c r="K466" s="39">
        <f t="shared" si="65"/>
        <v>1425</v>
      </c>
      <c r="L466" s="39">
        <f t="shared" si="66"/>
        <v>137287</v>
      </c>
      <c r="M466" s="40">
        <f t="shared" si="71"/>
        <v>29994</v>
      </c>
      <c r="N466" s="41" t="str">
        <f t="shared" ca="1" si="72"/>
        <v>V 35</v>
      </c>
      <c r="O466" s="41" t="str">
        <f t="shared" si="67"/>
        <v>M</v>
      </c>
      <c r="P466" s="60" t="str">
        <f t="shared" si="68"/>
        <v>AJS</v>
      </c>
      <c r="Q466" s="61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3">
      <c r="A467" s="28">
        <v>1439</v>
      </c>
      <c r="B467" s="28">
        <v>128023</v>
      </c>
      <c r="C467" s="129" t="s">
        <v>909</v>
      </c>
      <c r="D467" s="128" t="s">
        <v>123</v>
      </c>
      <c r="E467" s="128" t="s">
        <v>145</v>
      </c>
      <c r="F467" s="29">
        <v>32170</v>
      </c>
      <c r="G467" s="56" t="str">
        <f t="shared" ca="1" si="69"/>
        <v>Sénior</v>
      </c>
      <c r="H467" s="28">
        <f t="shared" ca="1" si="70"/>
        <v>33</v>
      </c>
      <c r="J467" s="38" t="str">
        <f t="shared" si="64"/>
        <v>António Fernandes</v>
      </c>
      <c r="K467" s="39">
        <f t="shared" si="65"/>
        <v>1439</v>
      </c>
      <c r="L467" s="39">
        <f t="shared" si="66"/>
        <v>128023</v>
      </c>
      <c r="M467" s="40">
        <f t="shared" si="71"/>
        <v>32170</v>
      </c>
      <c r="N467" s="41" t="str">
        <f t="shared" ca="1" si="72"/>
        <v>Sénior</v>
      </c>
      <c r="O467" s="41" t="str">
        <f t="shared" si="67"/>
        <v>M</v>
      </c>
      <c r="P467" s="60" t="str">
        <f t="shared" si="68"/>
        <v>AJS</v>
      </c>
      <c r="Q467" s="61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3">
      <c r="A468" s="28">
        <v>1438</v>
      </c>
      <c r="B468" s="28">
        <v>124014</v>
      </c>
      <c r="C468" s="129" t="s">
        <v>1337</v>
      </c>
      <c r="D468" s="128" t="s">
        <v>123</v>
      </c>
      <c r="E468" s="128" t="s">
        <v>145</v>
      </c>
      <c r="F468" s="29">
        <v>33097</v>
      </c>
      <c r="G468" s="56" t="str">
        <f t="shared" ca="1" si="69"/>
        <v>Sénior</v>
      </c>
      <c r="H468" s="28">
        <f t="shared" ca="1" si="70"/>
        <v>30</v>
      </c>
      <c r="J468" s="38" t="str">
        <f t="shared" si="64"/>
        <v>Ricardo J. Pereira</v>
      </c>
      <c r="K468" s="39">
        <f t="shared" si="65"/>
        <v>1438</v>
      </c>
      <c r="L468" s="39">
        <f t="shared" si="66"/>
        <v>124014</v>
      </c>
      <c r="M468" s="40">
        <f t="shared" si="71"/>
        <v>33097</v>
      </c>
      <c r="N468" s="41" t="str">
        <f t="shared" ca="1" si="72"/>
        <v>Sénior</v>
      </c>
      <c r="O468" s="41" t="str">
        <f t="shared" si="67"/>
        <v>M</v>
      </c>
      <c r="P468" s="60" t="str">
        <f t="shared" si="68"/>
        <v>AJS</v>
      </c>
      <c r="Q468" s="61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3">
      <c r="A469" s="28">
        <v>1733</v>
      </c>
      <c r="B469" s="28">
        <v>152630</v>
      </c>
      <c r="C469" s="129" t="s">
        <v>913</v>
      </c>
      <c r="D469" s="128" t="s">
        <v>123</v>
      </c>
      <c r="E469" s="128" t="s">
        <v>145</v>
      </c>
      <c r="F469" s="29">
        <v>38680</v>
      </c>
      <c r="G469" s="56" t="str">
        <f t="shared" ca="1" si="69"/>
        <v>Juvenil</v>
      </c>
      <c r="H469" s="28">
        <f t="shared" ca="1" si="70"/>
        <v>15</v>
      </c>
      <c r="J469" s="38" t="str">
        <f t="shared" si="64"/>
        <v>Francisco Palmeira</v>
      </c>
      <c r="K469" s="39">
        <f t="shared" si="65"/>
        <v>1733</v>
      </c>
      <c r="L469" s="39">
        <f t="shared" si="66"/>
        <v>152630</v>
      </c>
      <c r="M469" s="40">
        <f t="shared" si="71"/>
        <v>38680</v>
      </c>
      <c r="N469" s="41" t="str">
        <f t="shared" ca="1" si="72"/>
        <v>Juvenil</v>
      </c>
      <c r="O469" s="41" t="str">
        <f t="shared" si="67"/>
        <v>M</v>
      </c>
      <c r="P469" s="60" t="str">
        <f t="shared" si="68"/>
        <v>AJS</v>
      </c>
      <c r="Q469" s="61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3">
      <c r="A470" s="28">
        <v>1903</v>
      </c>
      <c r="B470" s="28">
        <v>156295</v>
      </c>
      <c r="C470" s="129" t="s">
        <v>1065</v>
      </c>
      <c r="D470" s="128" t="s">
        <v>123</v>
      </c>
      <c r="E470" s="128" t="s">
        <v>146</v>
      </c>
      <c r="F470" s="29">
        <v>39534</v>
      </c>
      <c r="G470" s="56" t="str">
        <f t="shared" ca="1" si="69"/>
        <v>Infantil</v>
      </c>
      <c r="H470" s="28">
        <f t="shared" ca="1" si="70"/>
        <v>13</v>
      </c>
      <c r="J470" s="38" t="str">
        <f t="shared" si="64"/>
        <v>Petra Faria</v>
      </c>
      <c r="K470" s="39">
        <f t="shared" si="65"/>
        <v>1903</v>
      </c>
      <c r="L470" s="39">
        <f t="shared" si="66"/>
        <v>156295</v>
      </c>
      <c r="M470" s="40">
        <f t="shared" si="71"/>
        <v>39534</v>
      </c>
      <c r="N470" s="41" t="str">
        <f t="shared" ca="1" si="72"/>
        <v>Infantil</v>
      </c>
      <c r="O470" s="41" t="str">
        <f t="shared" si="67"/>
        <v>F</v>
      </c>
      <c r="P470" s="60" t="str">
        <f t="shared" si="68"/>
        <v>AJS</v>
      </c>
      <c r="Q470" s="61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3">
      <c r="A471" s="28">
        <v>1732</v>
      </c>
      <c r="B471" s="28">
        <v>153123</v>
      </c>
      <c r="C471" s="129" t="s">
        <v>842</v>
      </c>
      <c r="D471" s="128" t="s">
        <v>123</v>
      </c>
      <c r="E471" s="128" t="s">
        <v>145</v>
      </c>
      <c r="F471" s="29">
        <v>38632</v>
      </c>
      <c r="G471" s="56" t="str">
        <f t="shared" ca="1" si="69"/>
        <v>Juvenil</v>
      </c>
      <c r="H471" s="28">
        <f t="shared" ca="1" si="70"/>
        <v>15</v>
      </c>
      <c r="J471" s="38" t="str">
        <f t="shared" si="64"/>
        <v>Omar Jesus</v>
      </c>
      <c r="K471" s="39">
        <f t="shared" si="65"/>
        <v>1732</v>
      </c>
      <c r="L471" s="39">
        <f t="shared" si="66"/>
        <v>153123</v>
      </c>
      <c r="M471" s="40">
        <f t="shared" si="71"/>
        <v>38632</v>
      </c>
      <c r="N471" s="41" t="str">
        <f t="shared" ca="1" si="72"/>
        <v>Juvenil</v>
      </c>
      <c r="O471" s="41" t="str">
        <f t="shared" si="67"/>
        <v>M</v>
      </c>
      <c r="P471" s="60" t="str">
        <f t="shared" si="68"/>
        <v>AJS</v>
      </c>
      <c r="Q471" s="6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3">
      <c r="A472" s="28">
        <v>1731</v>
      </c>
      <c r="B472" s="28">
        <v>153572</v>
      </c>
      <c r="C472" s="129" t="s">
        <v>1276</v>
      </c>
      <c r="D472" s="128" t="s">
        <v>123</v>
      </c>
      <c r="E472" s="128" t="s">
        <v>145</v>
      </c>
      <c r="F472" s="29">
        <v>38396</v>
      </c>
      <c r="G472" s="56" t="str">
        <f t="shared" ca="1" si="69"/>
        <v>Juvenil</v>
      </c>
      <c r="H472" s="28">
        <f t="shared" ca="1" si="70"/>
        <v>16</v>
      </c>
      <c r="J472" s="38" t="str">
        <f t="shared" si="64"/>
        <v>Nélio Santos</v>
      </c>
      <c r="K472" s="39">
        <f t="shared" si="65"/>
        <v>1731</v>
      </c>
      <c r="L472" s="39">
        <f t="shared" si="66"/>
        <v>153572</v>
      </c>
      <c r="M472" s="40">
        <f t="shared" si="71"/>
        <v>38396</v>
      </c>
      <c r="N472" s="41" t="str">
        <f t="shared" ca="1" si="72"/>
        <v>Juvenil</v>
      </c>
      <c r="O472" s="41" t="str">
        <f t="shared" si="67"/>
        <v>M</v>
      </c>
      <c r="P472" s="60" t="str">
        <f t="shared" si="68"/>
        <v>AJS</v>
      </c>
      <c r="Q472" s="61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3">
      <c r="A473" s="28">
        <v>1401</v>
      </c>
      <c r="B473" s="28">
        <v>125306</v>
      </c>
      <c r="C473" s="129" t="s">
        <v>564</v>
      </c>
      <c r="D473" s="128" t="s">
        <v>123</v>
      </c>
      <c r="E473" s="128" t="s">
        <v>145</v>
      </c>
      <c r="F473" s="29">
        <v>24527</v>
      </c>
      <c r="G473" s="56" t="str">
        <f t="shared" ca="1" si="69"/>
        <v>V 50</v>
      </c>
      <c r="H473" s="28">
        <f t="shared" ca="1" si="70"/>
        <v>54</v>
      </c>
      <c r="J473" s="38" t="str">
        <f t="shared" si="64"/>
        <v>Carlos Franco</v>
      </c>
      <c r="K473" s="39">
        <f t="shared" si="65"/>
        <v>1401</v>
      </c>
      <c r="L473" s="39">
        <f t="shared" si="66"/>
        <v>125306</v>
      </c>
      <c r="M473" s="40">
        <f t="shared" si="71"/>
        <v>24527</v>
      </c>
      <c r="N473" s="41" t="str">
        <f t="shared" ca="1" si="72"/>
        <v>V 50</v>
      </c>
      <c r="O473" s="41" t="str">
        <f t="shared" si="67"/>
        <v>M</v>
      </c>
      <c r="P473" s="60" t="str">
        <f t="shared" si="68"/>
        <v>AJS</v>
      </c>
      <c r="Q473" s="61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3">
      <c r="A474" s="28">
        <v>1407</v>
      </c>
      <c r="B474" s="28">
        <v>126937</v>
      </c>
      <c r="C474" s="129" t="s">
        <v>556</v>
      </c>
      <c r="D474" s="128" t="s">
        <v>123</v>
      </c>
      <c r="E474" s="128" t="s">
        <v>145</v>
      </c>
      <c r="F474" s="29">
        <v>26419</v>
      </c>
      <c r="G474" s="56" t="str">
        <f t="shared" ca="1" si="69"/>
        <v>V 45</v>
      </c>
      <c r="H474" s="28">
        <f t="shared" ca="1" si="70"/>
        <v>48</v>
      </c>
      <c r="J474" s="38" t="str">
        <f t="shared" si="64"/>
        <v>Domingos Rodrigues</v>
      </c>
      <c r="K474" s="39">
        <f t="shared" si="65"/>
        <v>1407</v>
      </c>
      <c r="L474" s="39">
        <f t="shared" si="66"/>
        <v>126937</v>
      </c>
      <c r="M474" s="40">
        <f t="shared" si="71"/>
        <v>26419</v>
      </c>
      <c r="N474" s="41" t="str">
        <f t="shared" ca="1" si="72"/>
        <v>V 45</v>
      </c>
      <c r="O474" s="41" t="str">
        <f t="shared" si="67"/>
        <v>M</v>
      </c>
      <c r="P474" s="60" t="str">
        <f t="shared" si="68"/>
        <v>AJS</v>
      </c>
      <c r="Q474" s="61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3">
      <c r="A475" s="28">
        <v>1751</v>
      </c>
      <c r="B475" s="28">
        <v>160014</v>
      </c>
      <c r="C475" s="129" t="s">
        <v>1630</v>
      </c>
      <c r="D475" s="128" t="s">
        <v>1646</v>
      </c>
      <c r="E475" s="128" t="s">
        <v>146</v>
      </c>
      <c r="F475" s="29">
        <v>39221</v>
      </c>
      <c r="G475" s="56" t="str">
        <f t="shared" ca="1" si="69"/>
        <v>Iniciado</v>
      </c>
      <c r="H475" s="28">
        <f t="shared" ca="1" si="70"/>
        <v>13</v>
      </c>
      <c r="J475" s="38" t="str">
        <f t="shared" si="64"/>
        <v>Laura Martins</v>
      </c>
      <c r="K475" s="39">
        <f t="shared" si="65"/>
        <v>1751</v>
      </c>
      <c r="L475" s="39">
        <f t="shared" si="66"/>
        <v>160014</v>
      </c>
      <c r="M475" s="40">
        <f t="shared" si="71"/>
        <v>39221</v>
      </c>
      <c r="N475" s="41" t="str">
        <f t="shared" ca="1" si="72"/>
        <v>Iniciado</v>
      </c>
      <c r="O475" s="41" t="str">
        <f t="shared" si="67"/>
        <v>F</v>
      </c>
      <c r="P475" s="60" t="str">
        <f t="shared" si="68"/>
        <v>AAM-M</v>
      </c>
      <c r="Q475" s="61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3">
      <c r="A476" s="28">
        <v>2052</v>
      </c>
      <c r="B476" s="28">
        <v>150951</v>
      </c>
      <c r="C476" s="129" t="s">
        <v>1628</v>
      </c>
      <c r="D476" s="128" t="s">
        <v>1646</v>
      </c>
      <c r="E476" s="128" t="s">
        <v>146</v>
      </c>
      <c r="F476" s="29">
        <v>40735</v>
      </c>
      <c r="G476" s="56" t="str">
        <f t="shared" ca="1" si="69"/>
        <v>Benjamim B</v>
      </c>
      <c r="H476" s="28">
        <f t="shared" ca="1" si="70"/>
        <v>9</v>
      </c>
      <c r="J476" s="38" t="str">
        <f t="shared" si="64"/>
        <v>Isabel Fernandes</v>
      </c>
      <c r="K476" s="39">
        <f t="shared" si="65"/>
        <v>2052</v>
      </c>
      <c r="L476" s="39">
        <f t="shared" si="66"/>
        <v>150951</v>
      </c>
      <c r="M476" s="40">
        <f t="shared" si="71"/>
        <v>40735</v>
      </c>
      <c r="N476" s="41" t="str">
        <f t="shared" ca="1" si="72"/>
        <v>Benjamim B</v>
      </c>
      <c r="O476" s="41" t="str">
        <f t="shared" si="67"/>
        <v>F</v>
      </c>
      <c r="P476" s="60" t="str">
        <f t="shared" si="68"/>
        <v>AAM-M</v>
      </c>
      <c r="Q476" s="61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3">
      <c r="A477" s="28">
        <v>2053</v>
      </c>
      <c r="B477" s="28">
        <v>159988</v>
      </c>
      <c r="C477" s="129" t="s">
        <v>1629</v>
      </c>
      <c r="D477" s="128" t="s">
        <v>1646</v>
      </c>
      <c r="E477" s="128" t="s">
        <v>146</v>
      </c>
      <c r="F477" s="29">
        <v>40220</v>
      </c>
      <c r="G477" s="56" t="str">
        <f t="shared" ca="1" si="69"/>
        <v>Benjamim B</v>
      </c>
      <c r="H477" s="28">
        <f t="shared" ca="1" si="70"/>
        <v>11</v>
      </c>
      <c r="J477" s="38" t="str">
        <f t="shared" si="64"/>
        <v>Leonor B. Pereira</v>
      </c>
      <c r="K477" s="39">
        <f t="shared" si="65"/>
        <v>2053</v>
      </c>
      <c r="L477" s="39">
        <f t="shared" si="66"/>
        <v>159988</v>
      </c>
      <c r="M477" s="40">
        <f t="shared" si="71"/>
        <v>40220</v>
      </c>
      <c r="N477" s="41" t="str">
        <f t="shared" ca="1" si="72"/>
        <v>Benjamim B</v>
      </c>
      <c r="O477" s="41" t="str">
        <f t="shared" si="67"/>
        <v>F</v>
      </c>
      <c r="P477" s="60" t="str">
        <f t="shared" si="68"/>
        <v>AAM-M</v>
      </c>
      <c r="Q477" s="61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3">
      <c r="A478" s="28">
        <v>1548</v>
      </c>
      <c r="B478" s="28">
        <v>137247</v>
      </c>
      <c r="C478" s="129" t="s">
        <v>1643</v>
      </c>
      <c r="D478" s="128" t="s">
        <v>1646</v>
      </c>
      <c r="E478" s="128" t="s">
        <v>145</v>
      </c>
      <c r="F478" s="29">
        <v>34456</v>
      </c>
      <c r="G478" s="56" t="str">
        <f t="shared" ca="1" si="69"/>
        <v>Sénior</v>
      </c>
      <c r="H478" s="28">
        <f t="shared" ca="1" si="70"/>
        <v>26</v>
      </c>
      <c r="J478" s="38" t="str">
        <f t="shared" si="64"/>
        <v>André Benedito</v>
      </c>
      <c r="K478" s="39">
        <f t="shared" si="65"/>
        <v>1548</v>
      </c>
      <c r="L478" s="39">
        <f t="shared" si="66"/>
        <v>137247</v>
      </c>
      <c r="M478" s="40">
        <f t="shared" si="71"/>
        <v>34456</v>
      </c>
      <c r="N478" s="41" t="str">
        <f t="shared" ca="1" si="72"/>
        <v>Sénior</v>
      </c>
      <c r="O478" s="41" t="str">
        <f t="shared" si="67"/>
        <v>M</v>
      </c>
      <c r="P478" s="60" t="str">
        <f t="shared" si="68"/>
        <v>AAM-M</v>
      </c>
      <c r="Q478" s="61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3">
      <c r="A479" s="28">
        <v>2</v>
      </c>
      <c r="B479" s="28">
        <v>163491</v>
      </c>
      <c r="C479" s="129" t="s">
        <v>1632</v>
      </c>
      <c r="D479" s="128" t="s">
        <v>1646</v>
      </c>
      <c r="E479" s="128" t="s">
        <v>146</v>
      </c>
      <c r="F479" s="29">
        <v>27941</v>
      </c>
      <c r="G479" s="56" t="str">
        <f t="shared" ca="1" si="69"/>
        <v>V 40</v>
      </c>
      <c r="H479" s="28">
        <f t="shared" ca="1" si="70"/>
        <v>44</v>
      </c>
      <c r="J479" s="38" t="str">
        <f t="shared" si="64"/>
        <v>Belinda Freitas</v>
      </c>
      <c r="K479" s="39">
        <f t="shared" si="65"/>
        <v>2</v>
      </c>
      <c r="L479" s="39">
        <f t="shared" si="66"/>
        <v>163491</v>
      </c>
      <c r="M479" s="40">
        <f t="shared" si="71"/>
        <v>27941</v>
      </c>
      <c r="N479" s="41" t="str">
        <f t="shared" ca="1" si="72"/>
        <v>V 40</v>
      </c>
      <c r="O479" s="41" t="str">
        <f t="shared" si="67"/>
        <v>F</v>
      </c>
      <c r="P479" s="60" t="str">
        <f t="shared" si="68"/>
        <v>AAM-M</v>
      </c>
      <c r="Q479" s="61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3">
      <c r="A480" s="28">
        <v>966</v>
      </c>
      <c r="B480" s="28">
        <v>161406</v>
      </c>
      <c r="C480" s="129" t="s">
        <v>1371</v>
      </c>
      <c r="D480" s="128" t="s">
        <v>148</v>
      </c>
      <c r="E480" s="128" t="s">
        <v>145</v>
      </c>
      <c r="F480" s="29">
        <v>26998</v>
      </c>
      <c r="G480" s="56" t="str">
        <f t="shared" ca="1" si="69"/>
        <v>V 45</v>
      </c>
      <c r="H480" s="28">
        <f t="shared" ca="1" si="70"/>
        <v>47</v>
      </c>
      <c r="J480" s="38" t="str">
        <f t="shared" si="64"/>
        <v>José H. Gouveia</v>
      </c>
      <c r="K480" s="39">
        <f t="shared" si="65"/>
        <v>966</v>
      </c>
      <c r="L480" s="39">
        <f t="shared" si="66"/>
        <v>161406</v>
      </c>
      <c r="M480" s="40">
        <f t="shared" si="71"/>
        <v>26998</v>
      </c>
      <c r="N480" s="41" t="str">
        <f t="shared" ca="1" si="72"/>
        <v>V 45</v>
      </c>
      <c r="O480" s="41" t="str">
        <f t="shared" si="67"/>
        <v>M</v>
      </c>
      <c r="P480" s="60" t="str">
        <f t="shared" si="68"/>
        <v>IND-M</v>
      </c>
      <c r="Q480" s="61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3">
      <c r="A481" s="28">
        <v>245</v>
      </c>
      <c r="B481" s="28">
        <v>161405</v>
      </c>
      <c r="C481" s="129" t="s">
        <v>1370</v>
      </c>
      <c r="D481" s="128" t="s">
        <v>148</v>
      </c>
      <c r="E481" s="128" t="s">
        <v>146</v>
      </c>
      <c r="F481" s="29">
        <v>27587</v>
      </c>
      <c r="G481" s="56" t="str">
        <f t="shared" ca="1" si="69"/>
        <v>V 45</v>
      </c>
      <c r="H481" s="28">
        <f t="shared" ca="1" si="70"/>
        <v>45</v>
      </c>
      <c r="J481" s="38" t="str">
        <f t="shared" si="64"/>
        <v>Lucília Pestana</v>
      </c>
      <c r="K481" s="39">
        <f t="shared" si="65"/>
        <v>245</v>
      </c>
      <c r="L481" s="39">
        <f t="shared" si="66"/>
        <v>161405</v>
      </c>
      <c r="M481" s="40">
        <f t="shared" si="71"/>
        <v>27587</v>
      </c>
      <c r="N481" s="41" t="str">
        <f t="shared" ca="1" si="72"/>
        <v>V 45</v>
      </c>
      <c r="O481" s="41" t="str">
        <f t="shared" si="67"/>
        <v>F</v>
      </c>
      <c r="P481" s="60" t="str">
        <f t="shared" si="68"/>
        <v>IND-M</v>
      </c>
      <c r="Q481" s="6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3">
      <c r="A482" s="28">
        <v>952</v>
      </c>
      <c r="B482" s="28">
        <v>146519</v>
      </c>
      <c r="C482" s="129" t="s">
        <v>714</v>
      </c>
      <c r="D482" s="128" t="s">
        <v>721</v>
      </c>
      <c r="E482" s="128" t="s">
        <v>145</v>
      </c>
      <c r="F482" s="29">
        <v>29518</v>
      </c>
      <c r="G482" s="56" t="str">
        <f t="shared" ca="1" si="69"/>
        <v>V 40</v>
      </c>
      <c r="H482" s="28">
        <f t="shared" ca="1" si="70"/>
        <v>40</v>
      </c>
      <c r="J482" s="38" t="str">
        <f t="shared" si="64"/>
        <v>Sandro Silva</v>
      </c>
      <c r="K482" s="39">
        <f t="shared" si="65"/>
        <v>952</v>
      </c>
      <c r="L482" s="39">
        <f t="shared" si="66"/>
        <v>146519</v>
      </c>
      <c r="M482" s="40">
        <f t="shared" si="71"/>
        <v>29518</v>
      </c>
      <c r="N482" s="41" t="str">
        <f t="shared" ca="1" si="72"/>
        <v>V 40</v>
      </c>
      <c r="O482" s="41" t="str">
        <f t="shared" si="67"/>
        <v>M</v>
      </c>
      <c r="P482" s="60" t="str">
        <f t="shared" si="68"/>
        <v>JAC</v>
      </c>
      <c r="Q482" s="61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3">
      <c r="A483" s="28">
        <v>959</v>
      </c>
      <c r="B483" s="28">
        <v>126555</v>
      </c>
      <c r="C483" s="129" t="s">
        <v>726</v>
      </c>
      <c r="D483" s="128" t="s">
        <v>148</v>
      </c>
      <c r="E483" s="128" t="s">
        <v>145</v>
      </c>
      <c r="F483" s="29">
        <v>22185</v>
      </c>
      <c r="G483" s="56" t="str">
        <f t="shared" ca="1" si="69"/>
        <v>V 60</v>
      </c>
      <c r="H483" s="28">
        <f t="shared" ca="1" si="70"/>
        <v>60</v>
      </c>
      <c r="J483" s="38" t="str">
        <f t="shared" si="64"/>
        <v>Jorge Cipriano</v>
      </c>
      <c r="K483" s="39">
        <f t="shared" si="65"/>
        <v>959</v>
      </c>
      <c r="L483" s="39">
        <f t="shared" si="66"/>
        <v>126555</v>
      </c>
      <c r="M483" s="40">
        <f t="shared" si="71"/>
        <v>22185</v>
      </c>
      <c r="N483" s="41" t="str">
        <f t="shared" ca="1" si="72"/>
        <v>V 60</v>
      </c>
      <c r="O483" s="41" t="str">
        <f t="shared" si="67"/>
        <v>M</v>
      </c>
      <c r="P483" s="60" t="str">
        <f t="shared" si="68"/>
        <v>IND-M</v>
      </c>
      <c r="Q483" s="61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3">
      <c r="A484" s="28">
        <v>1049</v>
      </c>
      <c r="B484" s="28">
        <v>129694</v>
      </c>
      <c r="C484" s="129" t="s">
        <v>273</v>
      </c>
      <c r="D484" s="128" t="s">
        <v>161</v>
      </c>
      <c r="E484" s="128" t="s">
        <v>145</v>
      </c>
      <c r="F484" s="29">
        <v>27581</v>
      </c>
      <c r="G484" s="56" t="str">
        <f t="shared" ca="1" si="69"/>
        <v>V 45</v>
      </c>
      <c r="H484" s="28">
        <f t="shared" ca="1" si="70"/>
        <v>45</v>
      </c>
      <c r="J484" s="38" t="str">
        <f t="shared" si="64"/>
        <v>Vítor Rodrigues</v>
      </c>
      <c r="K484" s="39">
        <f t="shared" si="65"/>
        <v>1049</v>
      </c>
      <c r="L484" s="39">
        <f t="shared" si="66"/>
        <v>129694</v>
      </c>
      <c r="M484" s="40">
        <f t="shared" si="71"/>
        <v>27581</v>
      </c>
      <c r="N484" s="41" t="str">
        <f t="shared" ca="1" si="72"/>
        <v>V 45</v>
      </c>
      <c r="O484" s="41" t="str">
        <f t="shared" si="67"/>
        <v>M</v>
      </c>
      <c r="P484" s="60" t="str">
        <f t="shared" si="68"/>
        <v>CPC-M</v>
      </c>
      <c r="Q484" s="61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3">
      <c r="A485" s="28">
        <v>1046</v>
      </c>
      <c r="B485" s="28">
        <v>130215</v>
      </c>
      <c r="C485" s="129" t="s">
        <v>269</v>
      </c>
      <c r="D485" s="128" t="s">
        <v>161</v>
      </c>
      <c r="E485" s="128" t="s">
        <v>145</v>
      </c>
      <c r="F485" s="29">
        <v>23298</v>
      </c>
      <c r="G485" s="56" t="str">
        <f t="shared" ca="1" si="69"/>
        <v>V 55</v>
      </c>
      <c r="H485" s="28">
        <f t="shared" ca="1" si="70"/>
        <v>57</v>
      </c>
      <c r="J485" s="38" t="str">
        <f t="shared" si="64"/>
        <v>Alberto Drumond</v>
      </c>
      <c r="K485" s="39">
        <f t="shared" si="65"/>
        <v>1046</v>
      </c>
      <c r="L485" s="39">
        <f t="shared" si="66"/>
        <v>130215</v>
      </c>
      <c r="M485" s="40">
        <f t="shared" si="71"/>
        <v>23298</v>
      </c>
      <c r="N485" s="41" t="str">
        <f t="shared" ca="1" si="72"/>
        <v>V 55</v>
      </c>
      <c r="O485" s="41" t="str">
        <f t="shared" si="67"/>
        <v>M</v>
      </c>
      <c r="P485" s="60" t="str">
        <f t="shared" si="68"/>
        <v>CPC-M</v>
      </c>
      <c r="Q485" s="61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3">
      <c r="A486" s="28">
        <v>1043</v>
      </c>
      <c r="B486" s="28">
        <v>129462</v>
      </c>
      <c r="C486" s="129" t="s">
        <v>270</v>
      </c>
      <c r="D486" s="128" t="s">
        <v>161</v>
      </c>
      <c r="E486" s="128" t="s">
        <v>145</v>
      </c>
      <c r="F486" s="29">
        <v>17812</v>
      </c>
      <c r="G486" s="56" t="str">
        <f t="shared" ca="1" si="69"/>
        <v>V 70</v>
      </c>
      <c r="H486" s="28">
        <f t="shared" ca="1" si="70"/>
        <v>72</v>
      </c>
      <c r="J486" s="38" t="str">
        <f t="shared" si="64"/>
        <v>Juvenal Sousa</v>
      </c>
      <c r="K486" s="39">
        <f t="shared" si="65"/>
        <v>1043</v>
      </c>
      <c r="L486" s="39">
        <f t="shared" si="66"/>
        <v>129462</v>
      </c>
      <c r="M486" s="40">
        <f t="shared" si="71"/>
        <v>17812</v>
      </c>
      <c r="N486" s="41" t="str">
        <f t="shared" ca="1" si="72"/>
        <v>V 70</v>
      </c>
      <c r="O486" s="41" t="str">
        <f t="shared" si="67"/>
        <v>M</v>
      </c>
      <c r="P486" s="60" t="str">
        <f t="shared" si="68"/>
        <v>CPC-M</v>
      </c>
      <c r="Q486" s="61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3">
      <c r="A487" s="28">
        <v>194</v>
      </c>
      <c r="B487" s="28">
        <v>146040</v>
      </c>
      <c r="C487" s="129" t="s">
        <v>705</v>
      </c>
      <c r="D487" s="128" t="s">
        <v>161</v>
      </c>
      <c r="E487" s="128" t="s">
        <v>146</v>
      </c>
      <c r="F487" s="29">
        <v>25025</v>
      </c>
      <c r="G487" s="56" t="str">
        <f t="shared" ca="1" si="69"/>
        <v>V 50</v>
      </c>
      <c r="H487" s="28">
        <f t="shared" ca="1" si="70"/>
        <v>52</v>
      </c>
      <c r="J487" s="38" t="str">
        <f t="shared" si="64"/>
        <v>Augusta Silva</v>
      </c>
      <c r="K487" s="39">
        <f t="shared" si="65"/>
        <v>194</v>
      </c>
      <c r="L487" s="39">
        <f t="shared" si="66"/>
        <v>146040</v>
      </c>
      <c r="M487" s="40">
        <f t="shared" si="71"/>
        <v>25025</v>
      </c>
      <c r="N487" s="41" t="str">
        <f t="shared" ca="1" si="72"/>
        <v>V 50</v>
      </c>
      <c r="O487" s="41" t="str">
        <f t="shared" si="67"/>
        <v>F</v>
      </c>
      <c r="P487" s="60" t="str">
        <f t="shared" si="68"/>
        <v>CPC-M</v>
      </c>
      <c r="Q487" s="61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3">
      <c r="A488" s="28">
        <v>1053</v>
      </c>
      <c r="B488" s="28">
        <v>131398</v>
      </c>
      <c r="C488" s="129" t="s">
        <v>692</v>
      </c>
      <c r="D488" s="128" t="s">
        <v>161</v>
      </c>
      <c r="E488" s="128" t="s">
        <v>145</v>
      </c>
      <c r="F488" s="29">
        <v>28124</v>
      </c>
      <c r="G488" s="56" t="str">
        <f t="shared" ca="1" si="69"/>
        <v>V 40</v>
      </c>
      <c r="H488" s="28">
        <f t="shared" ca="1" si="70"/>
        <v>44</v>
      </c>
      <c r="J488" s="38" t="str">
        <f t="shared" si="64"/>
        <v>Sabino Gouveia</v>
      </c>
      <c r="K488" s="39">
        <f t="shared" si="65"/>
        <v>1053</v>
      </c>
      <c r="L488" s="39">
        <f t="shared" si="66"/>
        <v>131398</v>
      </c>
      <c r="M488" s="40">
        <f t="shared" si="71"/>
        <v>28124</v>
      </c>
      <c r="N488" s="41" t="str">
        <f t="shared" ca="1" si="72"/>
        <v>V 40</v>
      </c>
      <c r="O488" s="41" t="str">
        <f t="shared" si="67"/>
        <v>M</v>
      </c>
      <c r="P488" s="60" t="str">
        <f t="shared" si="68"/>
        <v>CPC-M</v>
      </c>
      <c r="Q488" s="61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3">
      <c r="A489" s="28">
        <v>1059</v>
      </c>
      <c r="B489" s="28">
        <v>153228</v>
      </c>
      <c r="C489" s="129" t="s">
        <v>860</v>
      </c>
      <c r="D489" s="128" t="s">
        <v>161</v>
      </c>
      <c r="E489" s="128" t="s">
        <v>145</v>
      </c>
      <c r="F489" s="29">
        <v>37197</v>
      </c>
      <c r="G489" s="56" t="str">
        <f t="shared" ca="1" si="69"/>
        <v>sub 23</v>
      </c>
      <c r="H489" s="28">
        <f t="shared" ca="1" si="70"/>
        <v>19</v>
      </c>
      <c r="J489" s="38" t="str">
        <f t="shared" si="64"/>
        <v>João F. Quintal</v>
      </c>
      <c r="K489" s="39">
        <f t="shared" si="65"/>
        <v>1059</v>
      </c>
      <c r="L489" s="39">
        <f t="shared" si="66"/>
        <v>153228</v>
      </c>
      <c r="M489" s="40">
        <f t="shared" si="71"/>
        <v>37197</v>
      </c>
      <c r="N489" s="41" t="str">
        <f t="shared" ca="1" si="72"/>
        <v>sub 23</v>
      </c>
      <c r="O489" s="41" t="str">
        <f t="shared" si="67"/>
        <v>M</v>
      </c>
      <c r="P489" s="60" t="str">
        <f t="shared" si="68"/>
        <v>CPC-M</v>
      </c>
      <c r="Q489" s="61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3">
      <c r="A490" s="28">
        <v>1063</v>
      </c>
      <c r="B490" s="28">
        <v>151925</v>
      </c>
      <c r="C490" s="129" t="s">
        <v>823</v>
      </c>
      <c r="D490" s="128" t="s">
        <v>161</v>
      </c>
      <c r="E490" s="128" t="s">
        <v>145</v>
      </c>
      <c r="F490" s="29">
        <v>32578</v>
      </c>
      <c r="G490" s="56" t="str">
        <f t="shared" ca="1" si="69"/>
        <v>Sénior</v>
      </c>
      <c r="H490" s="28">
        <f t="shared" ca="1" si="70"/>
        <v>32</v>
      </c>
      <c r="J490" s="38" t="str">
        <f t="shared" si="64"/>
        <v>André Silva</v>
      </c>
      <c r="K490" s="39">
        <f t="shared" si="65"/>
        <v>1063</v>
      </c>
      <c r="L490" s="39">
        <f t="shared" si="66"/>
        <v>151925</v>
      </c>
      <c r="M490" s="40">
        <f t="shared" si="71"/>
        <v>32578</v>
      </c>
      <c r="N490" s="41" t="str">
        <f t="shared" ca="1" si="72"/>
        <v>Sénior</v>
      </c>
      <c r="O490" s="41" t="str">
        <f t="shared" si="67"/>
        <v>M</v>
      </c>
      <c r="P490" s="60" t="str">
        <f t="shared" si="68"/>
        <v>CPC-M</v>
      </c>
      <c r="Q490" s="61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3">
      <c r="A491" s="28">
        <v>1062</v>
      </c>
      <c r="B491" s="28">
        <v>145884</v>
      </c>
      <c r="C491" s="129" t="s">
        <v>717</v>
      </c>
      <c r="D491" s="128" t="s">
        <v>161</v>
      </c>
      <c r="E491" s="128" t="s">
        <v>145</v>
      </c>
      <c r="F491" s="29">
        <v>32089</v>
      </c>
      <c r="G491" s="56" t="str">
        <f t="shared" ca="1" si="69"/>
        <v>Sénior</v>
      </c>
      <c r="H491" s="28">
        <f t="shared" ca="1" si="70"/>
        <v>33</v>
      </c>
      <c r="J491" s="38" t="str">
        <f t="shared" si="64"/>
        <v>Rúben Pinto</v>
      </c>
      <c r="K491" s="39">
        <f t="shared" si="65"/>
        <v>1062</v>
      </c>
      <c r="L491" s="39">
        <f t="shared" si="66"/>
        <v>145884</v>
      </c>
      <c r="M491" s="40">
        <f t="shared" si="71"/>
        <v>32089</v>
      </c>
      <c r="N491" s="41" t="str">
        <f t="shared" ca="1" si="72"/>
        <v>Sénior</v>
      </c>
      <c r="O491" s="41" t="str">
        <f t="shared" si="67"/>
        <v>M</v>
      </c>
      <c r="P491" s="60" t="str">
        <f t="shared" si="68"/>
        <v>CPC-M</v>
      </c>
      <c r="Q491" s="6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3">
      <c r="A492" s="28">
        <v>191</v>
      </c>
      <c r="B492" s="28">
        <v>139662</v>
      </c>
      <c r="C492" s="129" t="s">
        <v>444</v>
      </c>
      <c r="D492" s="128" t="s">
        <v>161</v>
      </c>
      <c r="E492" s="128" t="s">
        <v>146</v>
      </c>
      <c r="F492" s="29">
        <v>31272</v>
      </c>
      <c r="G492" s="56" t="str">
        <f t="shared" ca="1" si="69"/>
        <v>V 35</v>
      </c>
      <c r="H492" s="28">
        <f t="shared" ca="1" si="70"/>
        <v>35</v>
      </c>
      <c r="J492" s="38" t="str">
        <f t="shared" si="64"/>
        <v>Sílvia Sousa</v>
      </c>
      <c r="K492" s="39">
        <f t="shared" si="65"/>
        <v>191</v>
      </c>
      <c r="L492" s="39">
        <f t="shared" si="66"/>
        <v>139662</v>
      </c>
      <c r="M492" s="40">
        <f t="shared" si="71"/>
        <v>31272</v>
      </c>
      <c r="N492" s="41" t="str">
        <f t="shared" ca="1" si="72"/>
        <v>V 35</v>
      </c>
      <c r="O492" s="41" t="str">
        <f t="shared" si="67"/>
        <v>F</v>
      </c>
      <c r="P492" s="60" t="str">
        <f t="shared" si="68"/>
        <v>CPC-M</v>
      </c>
      <c r="Q492" s="61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3">
      <c r="A493" s="28">
        <v>1058</v>
      </c>
      <c r="B493" s="28">
        <v>153287</v>
      </c>
      <c r="C493" s="129" t="s">
        <v>933</v>
      </c>
      <c r="D493" s="128" t="s">
        <v>161</v>
      </c>
      <c r="E493" s="128" t="s">
        <v>145</v>
      </c>
      <c r="F493" s="29">
        <v>31354</v>
      </c>
      <c r="G493" s="56" t="str">
        <f t="shared" ca="1" si="69"/>
        <v>V 35</v>
      </c>
      <c r="H493" s="28">
        <f t="shared" ca="1" si="70"/>
        <v>35</v>
      </c>
      <c r="J493" s="38" t="str">
        <f t="shared" si="64"/>
        <v>Nélio Lopes</v>
      </c>
      <c r="K493" s="39">
        <f t="shared" si="65"/>
        <v>1058</v>
      </c>
      <c r="L493" s="39">
        <f t="shared" si="66"/>
        <v>153287</v>
      </c>
      <c r="M493" s="40">
        <f t="shared" si="71"/>
        <v>31354</v>
      </c>
      <c r="N493" s="41" t="str">
        <f t="shared" ca="1" si="72"/>
        <v>V 35</v>
      </c>
      <c r="O493" s="41" t="str">
        <f t="shared" si="67"/>
        <v>M</v>
      </c>
      <c r="P493" s="60" t="str">
        <f t="shared" si="68"/>
        <v>CPC-M</v>
      </c>
      <c r="Q493" s="61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3">
      <c r="A494" s="28">
        <v>1052</v>
      </c>
      <c r="B494" s="28">
        <v>149102</v>
      </c>
      <c r="C494" s="129" t="s">
        <v>1280</v>
      </c>
      <c r="D494" s="128" t="s">
        <v>161</v>
      </c>
      <c r="E494" s="128" t="s">
        <v>145</v>
      </c>
      <c r="F494" s="29">
        <v>28975</v>
      </c>
      <c r="G494" s="56" t="str">
        <f t="shared" ca="1" si="69"/>
        <v>V 40</v>
      </c>
      <c r="H494" s="28">
        <f t="shared" ca="1" si="70"/>
        <v>41</v>
      </c>
      <c r="J494" s="38" t="str">
        <f t="shared" si="64"/>
        <v>Márcio Teixeira</v>
      </c>
      <c r="K494" s="39">
        <f t="shared" si="65"/>
        <v>1052</v>
      </c>
      <c r="L494" s="39">
        <f t="shared" si="66"/>
        <v>149102</v>
      </c>
      <c r="M494" s="40">
        <f t="shared" si="71"/>
        <v>28975</v>
      </c>
      <c r="N494" s="41" t="str">
        <f t="shared" ca="1" si="72"/>
        <v>V 40</v>
      </c>
      <c r="O494" s="41" t="str">
        <f t="shared" si="67"/>
        <v>M</v>
      </c>
      <c r="P494" s="60" t="str">
        <f t="shared" si="68"/>
        <v>CPC-M</v>
      </c>
      <c r="Q494" s="61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3">
      <c r="A495" s="28">
        <v>1061</v>
      </c>
      <c r="B495" s="28">
        <v>163425</v>
      </c>
      <c r="C495" s="129" t="s">
        <v>1601</v>
      </c>
      <c r="D495" s="128" t="s">
        <v>161</v>
      </c>
      <c r="E495" s="128" t="s">
        <v>145</v>
      </c>
      <c r="F495" s="29">
        <v>31942</v>
      </c>
      <c r="G495" s="56" t="str">
        <f t="shared" ca="1" si="69"/>
        <v>Sénior</v>
      </c>
      <c r="H495" s="28">
        <f t="shared" ca="1" si="70"/>
        <v>33</v>
      </c>
      <c r="J495" s="38" t="str">
        <f t="shared" si="64"/>
        <v>Hugo A. Correia</v>
      </c>
      <c r="K495" s="39">
        <f t="shared" si="65"/>
        <v>1061</v>
      </c>
      <c r="L495" s="39">
        <f t="shared" si="66"/>
        <v>163425</v>
      </c>
      <c r="M495" s="40">
        <f t="shared" si="71"/>
        <v>31942</v>
      </c>
      <c r="N495" s="41" t="str">
        <f t="shared" ca="1" si="72"/>
        <v>Sénior</v>
      </c>
      <c r="O495" s="41" t="str">
        <f t="shared" si="67"/>
        <v>M</v>
      </c>
      <c r="P495" s="60" t="str">
        <f t="shared" si="68"/>
        <v>CPC-M</v>
      </c>
      <c r="Q495" s="61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3">
      <c r="A496" s="28">
        <v>226</v>
      </c>
      <c r="B496" s="28">
        <v>123802</v>
      </c>
      <c r="C496" s="129" t="s">
        <v>1514</v>
      </c>
      <c r="D496" s="128" t="s">
        <v>125</v>
      </c>
      <c r="E496" s="128" t="s">
        <v>146</v>
      </c>
      <c r="F496" s="29">
        <v>36503</v>
      </c>
      <c r="G496" s="56" t="str">
        <f t="shared" ca="1" si="69"/>
        <v>sub 23</v>
      </c>
      <c r="H496" s="28">
        <f t="shared" ca="1" si="70"/>
        <v>21</v>
      </c>
      <c r="J496" s="38" t="str">
        <f t="shared" si="64"/>
        <v>Patrícia A. Silva</v>
      </c>
      <c r="K496" s="39">
        <f t="shared" si="65"/>
        <v>226</v>
      </c>
      <c r="L496" s="39">
        <f t="shared" si="66"/>
        <v>123802</v>
      </c>
      <c r="M496" s="40">
        <f t="shared" si="71"/>
        <v>36503</v>
      </c>
      <c r="N496" s="41" t="str">
        <f t="shared" ca="1" si="72"/>
        <v>sub 23</v>
      </c>
      <c r="O496" s="41" t="str">
        <f t="shared" si="67"/>
        <v>F</v>
      </c>
      <c r="P496" s="60" t="str">
        <f t="shared" si="68"/>
        <v>GDE</v>
      </c>
      <c r="Q496" s="61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3">
      <c r="A497" s="28">
        <v>997</v>
      </c>
      <c r="B497" s="28">
        <v>145013</v>
      </c>
      <c r="C497" s="129" t="s">
        <v>1518</v>
      </c>
      <c r="D497" s="128" t="s">
        <v>125</v>
      </c>
      <c r="E497" s="128" t="s">
        <v>145</v>
      </c>
      <c r="F497" s="29">
        <v>34528</v>
      </c>
      <c r="G497" s="56" t="str">
        <f t="shared" ca="1" si="69"/>
        <v>Sénior</v>
      </c>
      <c r="H497" s="28">
        <f t="shared" ca="1" si="70"/>
        <v>26</v>
      </c>
      <c r="J497" s="38" t="str">
        <f t="shared" si="64"/>
        <v>Abdel Larrinaga</v>
      </c>
      <c r="K497" s="39">
        <f t="shared" si="65"/>
        <v>997</v>
      </c>
      <c r="L497" s="39">
        <f t="shared" si="66"/>
        <v>145013</v>
      </c>
      <c r="M497" s="40">
        <f t="shared" si="71"/>
        <v>34528</v>
      </c>
      <c r="N497" s="41" t="str">
        <f t="shared" ca="1" si="72"/>
        <v>Sénior</v>
      </c>
      <c r="O497" s="41" t="str">
        <f t="shared" si="67"/>
        <v>M</v>
      </c>
      <c r="P497" s="60" t="str">
        <f t="shared" si="68"/>
        <v>GDE</v>
      </c>
      <c r="Q497" s="61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3">
      <c r="A498" s="28">
        <v>128</v>
      </c>
      <c r="B498" s="28">
        <v>124671</v>
      </c>
      <c r="C498" s="129" t="s">
        <v>234</v>
      </c>
      <c r="D498" s="128" t="s">
        <v>153</v>
      </c>
      <c r="E498" s="128" t="s">
        <v>146</v>
      </c>
      <c r="F498" s="29">
        <v>29703</v>
      </c>
      <c r="G498" s="56" t="str">
        <f t="shared" ca="1" si="69"/>
        <v>V 35</v>
      </c>
      <c r="H498" s="28">
        <f t="shared" ca="1" si="70"/>
        <v>39</v>
      </c>
      <c r="J498" s="38" t="str">
        <f t="shared" si="64"/>
        <v>Michele Faria</v>
      </c>
      <c r="K498" s="39">
        <f t="shared" si="65"/>
        <v>128</v>
      </c>
      <c r="L498" s="39">
        <f t="shared" si="66"/>
        <v>124671</v>
      </c>
      <c r="M498" s="40">
        <f t="shared" si="71"/>
        <v>29703</v>
      </c>
      <c r="N498" s="41" t="str">
        <f t="shared" ca="1" si="72"/>
        <v>V 35</v>
      </c>
      <c r="O498" s="41" t="str">
        <f t="shared" si="67"/>
        <v>F</v>
      </c>
      <c r="P498" s="60" t="str">
        <f t="shared" si="68"/>
        <v>CDI-M</v>
      </c>
      <c r="Q498" s="61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3">
      <c r="A499" s="28">
        <v>1205</v>
      </c>
      <c r="B499" s="28">
        <v>125261</v>
      </c>
      <c r="C499" s="129" t="s">
        <v>237</v>
      </c>
      <c r="D499" s="128" t="s">
        <v>153</v>
      </c>
      <c r="E499" s="128" t="s">
        <v>145</v>
      </c>
      <c r="F499" s="29">
        <v>28295</v>
      </c>
      <c r="G499" s="56" t="str">
        <f t="shared" ca="1" si="69"/>
        <v>V 40</v>
      </c>
      <c r="H499" s="28">
        <f t="shared" ca="1" si="70"/>
        <v>43</v>
      </c>
      <c r="J499" s="38" t="str">
        <f t="shared" si="64"/>
        <v>Hélder Gouveia</v>
      </c>
      <c r="K499" s="39">
        <f t="shared" si="65"/>
        <v>1205</v>
      </c>
      <c r="L499" s="39">
        <f t="shared" si="66"/>
        <v>125261</v>
      </c>
      <c r="M499" s="40">
        <f t="shared" si="71"/>
        <v>28295</v>
      </c>
      <c r="N499" s="41" t="str">
        <f t="shared" ca="1" si="72"/>
        <v>V 40</v>
      </c>
      <c r="O499" s="41" t="str">
        <f t="shared" si="67"/>
        <v>M</v>
      </c>
      <c r="P499" s="60" t="str">
        <f t="shared" si="68"/>
        <v>CDI-M</v>
      </c>
      <c r="Q499" s="61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3">
      <c r="A500" s="28">
        <v>129</v>
      </c>
      <c r="B500" s="28">
        <v>140895</v>
      </c>
      <c r="C500" s="129" t="s">
        <v>1049</v>
      </c>
      <c r="D500" s="128" t="s">
        <v>153</v>
      </c>
      <c r="E500" s="128" t="s">
        <v>146</v>
      </c>
      <c r="F500" s="29">
        <v>31125</v>
      </c>
      <c r="G500" s="56" t="str">
        <f t="shared" ca="1" si="69"/>
        <v>V 35</v>
      </c>
      <c r="H500" s="28">
        <f t="shared" ca="1" si="70"/>
        <v>36</v>
      </c>
      <c r="J500" s="38" t="str">
        <f t="shared" si="64"/>
        <v>Lucy Andrade</v>
      </c>
      <c r="K500" s="39">
        <f t="shared" si="65"/>
        <v>129</v>
      </c>
      <c r="L500" s="39">
        <f t="shared" si="66"/>
        <v>140895</v>
      </c>
      <c r="M500" s="40">
        <f t="shared" si="71"/>
        <v>31125</v>
      </c>
      <c r="N500" s="41" t="str">
        <f t="shared" ca="1" si="72"/>
        <v>V 35</v>
      </c>
      <c r="O500" s="41" t="str">
        <f t="shared" si="67"/>
        <v>F</v>
      </c>
      <c r="P500" s="60" t="str">
        <f t="shared" si="68"/>
        <v>CDI-M</v>
      </c>
      <c r="Q500" s="61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3">
      <c r="A501" s="28">
        <v>130</v>
      </c>
      <c r="B501" s="28">
        <v>161882</v>
      </c>
      <c r="C501" s="129" t="s">
        <v>1389</v>
      </c>
      <c r="D501" s="128" t="s">
        <v>153</v>
      </c>
      <c r="E501" s="128" t="s">
        <v>146</v>
      </c>
      <c r="F501" s="29">
        <v>31087</v>
      </c>
      <c r="G501" s="56" t="str">
        <f t="shared" ca="1" si="69"/>
        <v>V 35</v>
      </c>
      <c r="H501" s="28">
        <f t="shared" ca="1" si="70"/>
        <v>36</v>
      </c>
      <c r="J501" s="38" t="str">
        <f t="shared" si="64"/>
        <v>Denise Rodrigues</v>
      </c>
      <c r="K501" s="39">
        <f t="shared" si="65"/>
        <v>130</v>
      </c>
      <c r="L501" s="39">
        <f t="shared" si="66"/>
        <v>161882</v>
      </c>
      <c r="M501" s="40">
        <f t="shared" si="71"/>
        <v>31087</v>
      </c>
      <c r="N501" s="41" t="str">
        <f t="shared" ca="1" si="72"/>
        <v>V 35</v>
      </c>
      <c r="O501" s="41" t="str">
        <f t="shared" si="67"/>
        <v>F</v>
      </c>
      <c r="P501" s="60" t="str">
        <f t="shared" si="68"/>
        <v>CDI-M</v>
      </c>
      <c r="Q501" s="6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3">
      <c r="A502" s="28">
        <v>1211</v>
      </c>
      <c r="B502" s="28">
        <v>161250</v>
      </c>
      <c r="C502" s="129" t="s">
        <v>1366</v>
      </c>
      <c r="D502" s="128" t="s">
        <v>153</v>
      </c>
      <c r="E502" s="128" t="s">
        <v>145</v>
      </c>
      <c r="F502" s="29">
        <v>29716</v>
      </c>
      <c r="G502" s="56" t="str">
        <f t="shared" ca="1" si="69"/>
        <v>V 35</v>
      </c>
      <c r="H502" s="28">
        <f t="shared" ca="1" si="70"/>
        <v>39</v>
      </c>
      <c r="J502" s="38" t="str">
        <f t="shared" si="64"/>
        <v>Paulo Sá Rodrigues</v>
      </c>
      <c r="K502" s="39">
        <f t="shared" si="65"/>
        <v>1211</v>
      </c>
      <c r="L502" s="39">
        <f t="shared" si="66"/>
        <v>161250</v>
      </c>
      <c r="M502" s="40">
        <f t="shared" si="71"/>
        <v>29716</v>
      </c>
      <c r="N502" s="41" t="str">
        <f t="shared" ca="1" si="72"/>
        <v>V 35</v>
      </c>
      <c r="O502" s="41" t="str">
        <f t="shared" si="67"/>
        <v>M</v>
      </c>
      <c r="P502" s="60" t="str">
        <f t="shared" si="68"/>
        <v>CDI-M</v>
      </c>
      <c r="Q502" s="61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3">
      <c r="A503" s="28">
        <v>1220</v>
      </c>
      <c r="B503" s="28">
        <v>158107</v>
      </c>
      <c r="C503" s="129" t="s">
        <v>1114</v>
      </c>
      <c r="D503" s="128" t="s">
        <v>153</v>
      </c>
      <c r="E503" s="128" t="s">
        <v>145</v>
      </c>
      <c r="F503" s="29">
        <v>31432</v>
      </c>
      <c r="G503" s="56" t="str">
        <f t="shared" ca="1" si="69"/>
        <v>V 35</v>
      </c>
      <c r="H503" s="28">
        <f t="shared" ca="1" si="70"/>
        <v>35</v>
      </c>
      <c r="J503" s="38" t="str">
        <f t="shared" si="64"/>
        <v>Ivo Rodrigues</v>
      </c>
      <c r="K503" s="39">
        <f t="shared" si="65"/>
        <v>1220</v>
      </c>
      <c r="L503" s="39">
        <f t="shared" si="66"/>
        <v>158107</v>
      </c>
      <c r="M503" s="40">
        <f t="shared" si="71"/>
        <v>31432</v>
      </c>
      <c r="N503" s="41" t="str">
        <f t="shared" ca="1" si="72"/>
        <v>V 35</v>
      </c>
      <c r="O503" s="41" t="str">
        <f t="shared" si="67"/>
        <v>M</v>
      </c>
      <c r="P503" s="60" t="str">
        <f t="shared" si="68"/>
        <v>CDI-M</v>
      </c>
      <c r="Q503" s="61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3">
      <c r="A504" s="28">
        <v>1204</v>
      </c>
      <c r="B504" s="28">
        <v>125564</v>
      </c>
      <c r="C504" s="129" t="s">
        <v>413</v>
      </c>
      <c r="D504" s="128" t="s">
        <v>153</v>
      </c>
      <c r="E504" s="128" t="s">
        <v>145</v>
      </c>
      <c r="F504" s="29">
        <v>28940</v>
      </c>
      <c r="G504" s="56" t="str">
        <f t="shared" ca="1" si="69"/>
        <v>V 40</v>
      </c>
      <c r="H504" s="28">
        <f t="shared" ca="1" si="70"/>
        <v>42</v>
      </c>
      <c r="J504" s="38" t="str">
        <f t="shared" si="64"/>
        <v>Marco Marques</v>
      </c>
      <c r="K504" s="39">
        <f t="shared" si="65"/>
        <v>1204</v>
      </c>
      <c r="L504" s="39">
        <f t="shared" si="66"/>
        <v>125564</v>
      </c>
      <c r="M504" s="40">
        <f t="shared" si="71"/>
        <v>28940</v>
      </c>
      <c r="N504" s="41" t="str">
        <f t="shared" ca="1" si="72"/>
        <v>V 40</v>
      </c>
      <c r="O504" s="41" t="str">
        <f t="shared" si="67"/>
        <v>M</v>
      </c>
      <c r="P504" s="60" t="str">
        <f t="shared" si="68"/>
        <v>CDI-M</v>
      </c>
      <c r="Q504" s="61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3">
      <c r="A505" s="28">
        <v>1203</v>
      </c>
      <c r="B505" s="28">
        <v>125362</v>
      </c>
      <c r="C505" s="129" t="s">
        <v>239</v>
      </c>
      <c r="D505" s="128" t="s">
        <v>153</v>
      </c>
      <c r="E505" s="128" t="s">
        <v>145</v>
      </c>
      <c r="F505" s="29">
        <v>28589</v>
      </c>
      <c r="G505" s="56" t="str">
        <f t="shared" ca="1" si="69"/>
        <v>V 40</v>
      </c>
      <c r="H505" s="28">
        <f t="shared" ca="1" si="70"/>
        <v>43</v>
      </c>
      <c r="J505" s="38" t="str">
        <f t="shared" si="64"/>
        <v>Manuel Jesus</v>
      </c>
      <c r="K505" s="39">
        <f t="shared" si="65"/>
        <v>1203</v>
      </c>
      <c r="L505" s="39">
        <f t="shared" si="66"/>
        <v>125362</v>
      </c>
      <c r="M505" s="40">
        <f t="shared" si="71"/>
        <v>28589</v>
      </c>
      <c r="N505" s="41" t="str">
        <f t="shared" ca="1" si="72"/>
        <v>V 40</v>
      </c>
      <c r="O505" s="41" t="str">
        <f t="shared" si="67"/>
        <v>M</v>
      </c>
      <c r="P505" s="60" t="str">
        <f t="shared" si="68"/>
        <v>CDI-M</v>
      </c>
      <c r="Q505" s="61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3">
      <c r="A506" s="28">
        <v>1202</v>
      </c>
      <c r="B506" s="28">
        <v>140328</v>
      </c>
      <c r="C506" s="129" t="s">
        <v>463</v>
      </c>
      <c r="D506" s="128" t="s">
        <v>153</v>
      </c>
      <c r="E506" s="128" t="s">
        <v>145</v>
      </c>
      <c r="F506" s="29">
        <v>27997</v>
      </c>
      <c r="G506" s="56" t="str">
        <f t="shared" ca="1" si="69"/>
        <v>V 40</v>
      </c>
      <c r="H506" s="28">
        <f t="shared" ca="1" si="70"/>
        <v>44</v>
      </c>
      <c r="J506" s="38" t="str">
        <f t="shared" si="64"/>
        <v>Magno Rodrigues</v>
      </c>
      <c r="K506" s="39">
        <f t="shared" si="65"/>
        <v>1202</v>
      </c>
      <c r="L506" s="39">
        <f t="shared" si="66"/>
        <v>140328</v>
      </c>
      <c r="M506" s="40">
        <f t="shared" si="71"/>
        <v>27997</v>
      </c>
      <c r="N506" s="41" t="str">
        <f t="shared" ca="1" si="72"/>
        <v>V 40</v>
      </c>
      <c r="O506" s="41" t="str">
        <f t="shared" si="67"/>
        <v>M</v>
      </c>
      <c r="P506" s="60" t="str">
        <f t="shared" si="68"/>
        <v>CDI-M</v>
      </c>
      <c r="Q506" s="61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3">
      <c r="A507" s="28">
        <v>1219</v>
      </c>
      <c r="B507" s="28">
        <v>161658</v>
      </c>
      <c r="C507" s="129" t="s">
        <v>1367</v>
      </c>
      <c r="D507" s="128" t="s">
        <v>153</v>
      </c>
      <c r="E507" s="128" t="s">
        <v>145</v>
      </c>
      <c r="F507" s="29">
        <v>33940</v>
      </c>
      <c r="G507" s="56" t="str">
        <f t="shared" ca="1" si="69"/>
        <v>Sénior</v>
      </c>
      <c r="H507" s="28">
        <f t="shared" ca="1" si="70"/>
        <v>28</v>
      </c>
      <c r="J507" s="38" t="str">
        <f t="shared" si="64"/>
        <v>Eduardo F. Ferreira</v>
      </c>
      <c r="K507" s="39">
        <f t="shared" si="65"/>
        <v>1219</v>
      </c>
      <c r="L507" s="39">
        <f t="shared" si="66"/>
        <v>161658</v>
      </c>
      <c r="M507" s="40">
        <f t="shared" si="71"/>
        <v>33940</v>
      </c>
      <c r="N507" s="41" t="str">
        <f t="shared" ca="1" si="72"/>
        <v>Sénior</v>
      </c>
      <c r="O507" s="41" t="str">
        <f t="shared" si="67"/>
        <v>M</v>
      </c>
      <c r="P507" s="60" t="str">
        <f t="shared" si="68"/>
        <v>CDI-M</v>
      </c>
      <c r="Q507" s="61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3">
      <c r="A508" s="28">
        <v>1210</v>
      </c>
      <c r="B508" s="28">
        <v>161659</v>
      </c>
      <c r="C508" s="129" t="s">
        <v>1368</v>
      </c>
      <c r="D508" s="128" t="s">
        <v>153</v>
      </c>
      <c r="E508" s="128" t="s">
        <v>145</v>
      </c>
      <c r="F508" s="29">
        <v>31257</v>
      </c>
      <c r="G508" s="56" t="str">
        <f t="shared" ca="1" si="69"/>
        <v>V 35</v>
      </c>
      <c r="H508" s="28">
        <f t="shared" ca="1" si="70"/>
        <v>35</v>
      </c>
      <c r="J508" s="38" t="str">
        <f t="shared" si="64"/>
        <v>Paulo A. Encarnação</v>
      </c>
      <c r="K508" s="39">
        <f t="shared" si="65"/>
        <v>1210</v>
      </c>
      <c r="L508" s="39">
        <f t="shared" si="66"/>
        <v>161659</v>
      </c>
      <c r="M508" s="40">
        <f t="shared" si="71"/>
        <v>31257</v>
      </c>
      <c r="N508" s="41" t="str">
        <f t="shared" ca="1" si="72"/>
        <v>V 35</v>
      </c>
      <c r="O508" s="41" t="str">
        <f t="shared" si="67"/>
        <v>M</v>
      </c>
      <c r="P508" s="60" t="str">
        <f t="shared" si="68"/>
        <v>CDI-M</v>
      </c>
      <c r="Q508" s="61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3">
      <c r="A509" s="28">
        <v>133</v>
      </c>
      <c r="B509" s="28">
        <v>137227</v>
      </c>
      <c r="C509" s="129" t="s">
        <v>1439</v>
      </c>
      <c r="D509" s="128" t="s">
        <v>153</v>
      </c>
      <c r="E509" s="128" t="s">
        <v>146</v>
      </c>
      <c r="F509" s="29">
        <v>29347</v>
      </c>
      <c r="G509" s="56" t="str">
        <f t="shared" ca="1" si="69"/>
        <v>V 40</v>
      </c>
      <c r="H509" s="28">
        <f t="shared" ca="1" si="70"/>
        <v>40</v>
      </c>
      <c r="J509" s="38" t="str">
        <f t="shared" si="64"/>
        <v>Bina Gomes</v>
      </c>
      <c r="K509" s="39">
        <f t="shared" si="65"/>
        <v>133</v>
      </c>
      <c r="L509" s="39">
        <f t="shared" si="66"/>
        <v>137227</v>
      </c>
      <c r="M509" s="40">
        <f t="shared" si="71"/>
        <v>29347</v>
      </c>
      <c r="N509" s="41" t="str">
        <f t="shared" ca="1" si="72"/>
        <v>V 40</v>
      </c>
      <c r="O509" s="41" t="str">
        <f t="shared" si="67"/>
        <v>F</v>
      </c>
      <c r="P509" s="60" t="str">
        <f t="shared" si="68"/>
        <v>CDI-M</v>
      </c>
      <c r="Q509" s="61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3">
      <c r="A510" s="28">
        <v>1199</v>
      </c>
      <c r="B510" s="28">
        <v>127426</v>
      </c>
      <c r="C510" s="129" t="s">
        <v>246</v>
      </c>
      <c r="D510" s="128" t="s">
        <v>153</v>
      </c>
      <c r="E510" s="128" t="s">
        <v>145</v>
      </c>
      <c r="F510" s="29">
        <v>24559</v>
      </c>
      <c r="G510" s="56" t="str">
        <f t="shared" ca="1" si="69"/>
        <v>V 50</v>
      </c>
      <c r="H510" s="28">
        <f t="shared" ca="1" si="70"/>
        <v>54</v>
      </c>
      <c r="J510" s="38" t="str">
        <f t="shared" si="64"/>
        <v>Paulo M. Gonçalves</v>
      </c>
      <c r="K510" s="39">
        <f t="shared" si="65"/>
        <v>1199</v>
      </c>
      <c r="L510" s="39">
        <f t="shared" si="66"/>
        <v>127426</v>
      </c>
      <c r="M510" s="40">
        <f t="shared" si="71"/>
        <v>24559</v>
      </c>
      <c r="N510" s="41" t="str">
        <f t="shared" ca="1" si="72"/>
        <v>V 50</v>
      </c>
      <c r="O510" s="41" t="str">
        <f t="shared" si="67"/>
        <v>M</v>
      </c>
      <c r="P510" s="60" t="str">
        <f t="shared" si="68"/>
        <v>CDI-M</v>
      </c>
      <c r="Q510" s="61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3">
      <c r="A511" s="28">
        <v>1218</v>
      </c>
      <c r="B511" s="28">
        <v>162970</v>
      </c>
      <c r="C511" s="129" t="s">
        <v>1441</v>
      </c>
      <c r="D511" s="128" t="s">
        <v>153</v>
      </c>
      <c r="E511" s="128" t="s">
        <v>145</v>
      </c>
      <c r="F511" s="29">
        <v>35916</v>
      </c>
      <c r="G511" s="56" t="str">
        <f t="shared" ca="1" si="69"/>
        <v>Sénior</v>
      </c>
      <c r="H511" s="28">
        <f t="shared" ca="1" si="70"/>
        <v>22</v>
      </c>
      <c r="J511" s="38" t="str">
        <f t="shared" si="64"/>
        <v>Luís Gouveia</v>
      </c>
      <c r="K511" s="39">
        <f t="shared" si="65"/>
        <v>1218</v>
      </c>
      <c r="L511" s="39">
        <f t="shared" si="66"/>
        <v>162970</v>
      </c>
      <c r="M511" s="40">
        <f t="shared" si="71"/>
        <v>35916</v>
      </c>
      <c r="N511" s="41" t="str">
        <f t="shared" ca="1" si="72"/>
        <v>Sénior</v>
      </c>
      <c r="O511" s="41" t="str">
        <f t="shared" si="67"/>
        <v>M</v>
      </c>
      <c r="P511" s="60" t="str">
        <f t="shared" si="68"/>
        <v>CDI-M</v>
      </c>
      <c r="Q511" s="6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3">
      <c r="A512" s="28">
        <v>1201</v>
      </c>
      <c r="B512" s="28">
        <v>163345</v>
      </c>
      <c r="C512" s="129" t="s">
        <v>1442</v>
      </c>
      <c r="D512" s="128" t="s">
        <v>153</v>
      </c>
      <c r="E512" s="128" t="s">
        <v>145</v>
      </c>
      <c r="F512" s="29">
        <v>28360</v>
      </c>
      <c r="G512" s="56" t="str">
        <f t="shared" ca="1" si="69"/>
        <v>V 40</v>
      </c>
      <c r="H512" s="28">
        <f t="shared" ca="1" si="70"/>
        <v>43</v>
      </c>
      <c r="J512" s="38" t="str">
        <f t="shared" si="64"/>
        <v>José Canada</v>
      </c>
      <c r="K512" s="39">
        <f t="shared" si="65"/>
        <v>1201</v>
      </c>
      <c r="L512" s="39">
        <f t="shared" si="66"/>
        <v>163345</v>
      </c>
      <c r="M512" s="40">
        <f t="shared" si="71"/>
        <v>28360</v>
      </c>
      <c r="N512" s="41" t="str">
        <f t="shared" ca="1" si="72"/>
        <v>V 40</v>
      </c>
      <c r="O512" s="41" t="str">
        <f t="shared" si="67"/>
        <v>M</v>
      </c>
      <c r="P512" s="60" t="str">
        <f t="shared" si="68"/>
        <v>CDI-M</v>
      </c>
      <c r="Q512" s="61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3">
      <c r="A513" s="28">
        <v>2237</v>
      </c>
      <c r="B513" s="28">
        <v>163211</v>
      </c>
      <c r="C513" s="129" t="s">
        <v>1443</v>
      </c>
      <c r="D513" s="128" t="s">
        <v>153</v>
      </c>
      <c r="E513" s="128" t="s">
        <v>145</v>
      </c>
      <c r="F513" s="29">
        <v>41118</v>
      </c>
      <c r="G513" s="56" t="str">
        <f t="shared" ca="1" si="69"/>
        <v>Benjamim A</v>
      </c>
      <c r="H513" s="28">
        <f t="shared" ca="1" si="70"/>
        <v>8</v>
      </c>
      <c r="J513" s="38" t="str">
        <f t="shared" si="64"/>
        <v>Martim Aguiar</v>
      </c>
      <c r="K513" s="39">
        <f t="shared" si="65"/>
        <v>2237</v>
      </c>
      <c r="L513" s="39">
        <f t="shared" si="66"/>
        <v>163211</v>
      </c>
      <c r="M513" s="40">
        <f t="shared" si="71"/>
        <v>41118</v>
      </c>
      <c r="N513" s="41" t="str">
        <f t="shared" ca="1" si="72"/>
        <v>Benjamim A</v>
      </c>
      <c r="O513" s="41" t="str">
        <f t="shared" si="67"/>
        <v>M</v>
      </c>
      <c r="P513" s="60" t="str">
        <f t="shared" si="68"/>
        <v>CDI-M</v>
      </c>
      <c r="Q513" s="61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3">
      <c r="A514" s="28">
        <v>1473</v>
      </c>
      <c r="B514" s="28">
        <v>127612</v>
      </c>
      <c r="C514" s="129" t="s">
        <v>244</v>
      </c>
      <c r="D514" s="128" t="s">
        <v>97</v>
      </c>
      <c r="E514" s="128" t="s">
        <v>145</v>
      </c>
      <c r="F514" s="29">
        <v>29807</v>
      </c>
      <c r="G514" s="56" t="str">
        <f t="shared" ca="1" si="69"/>
        <v>V 35</v>
      </c>
      <c r="H514" s="28">
        <f t="shared" ca="1" si="70"/>
        <v>39</v>
      </c>
      <c r="J514" s="38" t="str">
        <f t="shared" ref="J514:J577" si="73">C514</f>
        <v>Miguel Bettencourt</v>
      </c>
      <c r="K514" s="39">
        <f t="shared" ref="K514:K577" si="74">A514</f>
        <v>1473</v>
      </c>
      <c r="L514" s="39">
        <f t="shared" ref="L514:L577" si="75">B514</f>
        <v>127612</v>
      </c>
      <c r="M514" s="40">
        <f t="shared" si="71"/>
        <v>29807</v>
      </c>
      <c r="N514" s="41" t="str">
        <f t="shared" ca="1" si="72"/>
        <v>V 35</v>
      </c>
      <c r="O514" s="41" t="str">
        <f t="shared" ref="O514:O577" si="76">E514</f>
        <v>M</v>
      </c>
      <c r="P514" s="60" t="str">
        <f t="shared" ref="P514:P577" si="77">D514</f>
        <v>ADRAP</v>
      </c>
      <c r="Q514" s="61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3">
      <c r="A515" s="28">
        <v>1472</v>
      </c>
      <c r="B515" s="28">
        <v>140433</v>
      </c>
      <c r="C515" s="129" t="s">
        <v>460</v>
      </c>
      <c r="D515" s="128" t="s">
        <v>97</v>
      </c>
      <c r="E515" s="128" t="s">
        <v>145</v>
      </c>
      <c r="F515" s="29">
        <v>30799</v>
      </c>
      <c r="G515" s="5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B",IF(YEAR(TODAY())-YEAR(F515)&lt;14,"Infantil",IF(YEAR(TODAY())-YEAR(F515)&lt;16,"Iniciado",IF(YEAR(TODAY())-YEAR(F515)&lt;18,"Juvenil",IF(YEAR(TODAY())-YEAR(F515)&lt;20,"Júnior",IF(YEAR(TODAY())-YEAR(F515)&lt;23,"sub 23",IF(ROUNDDOWN(INT(TODAY()-F515)/365.25,0)&lt;35,"Sénior",IF(ROUNDDOWN(INT(TODAY()-F515)/365.25,0)&lt;40,"V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65",IF(ROUNDDOWN(INT(TODAY()-F515)/365.25,0)&lt;75,"V 70",IF(ROUNDDOWN(INT(TODAY()-F515)/365.25,0)&lt;80,"V 75",IF(ROUNDDOWN(INT(TODAY()-F515)/365.25,0)&lt;85,"V 80",IF(ROUNDDOWN(INT(TODAY()-F515)/365.25,0)&lt;90,"V 85",IF(ROUNDDOWN(INT(TODAY()-F515)/365.25,0)&lt;95,"V 90",IF(ROUNDDOWN(INT(TODAY()-F515)/365.25,0)&lt;100,"V 95",IF(ROUNDDOWN(INT(TODAY()-F515)/365.25,0)&gt;=100,"V 100",""))))))))))))))))))))))),"")</f>
        <v>V 35</v>
      </c>
      <c r="H515" s="28">
        <f t="shared" ref="H515:H578" ca="1" si="79">IFERROR(IF($A515&gt;0,ROUNDDOWN(INT(TODAY()-F515)/365.25,0),""),"")</f>
        <v>36</v>
      </c>
      <c r="J515" s="38" t="str">
        <f t="shared" si="73"/>
        <v>Vítor M. Rodrigues</v>
      </c>
      <c r="K515" s="39">
        <f t="shared" si="74"/>
        <v>1472</v>
      </c>
      <c r="L515" s="39">
        <f t="shared" si="75"/>
        <v>140433</v>
      </c>
      <c r="M515" s="40">
        <f t="shared" ref="M515:M578" si="80">F515</f>
        <v>30799</v>
      </c>
      <c r="N515" s="41" t="str">
        <f t="shared" ref="N515:N578" ca="1" si="81">G515</f>
        <v>V 35</v>
      </c>
      <c r="O515" s="41" t="str">
        <f t="shared" si="76"/>
        <v>M</v>
      </c>
      <c r="P515" s="60" t="str">
        <f t="shared" si="77"/>
        <v>ADRAP</v>
      </c>
      <c r="Q515" s="61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3">
      <c r="A516" s="28">
        <v>969</v>
      </c>
      <c r="B516" s="28">
        <v>141959</v>
      </c>
      <c r="C516" s="129" t="s">
        <v>529</v>
      </c>
      <c r="D516" s="128" t="s">
        <v>148</v>
      </c>
      <c r="E516" s="128" t="s">
        <v>145</v>
      </c>
      <c r="F516" s="29">
        <v>28093</v>
      </c>
      <c r="G516" s="56" t="str">
        <f t="shared" ca="1" si="78"/>
        <v>V 40</v>
      </c>
      <c r="H516" s="28">
        <f t="shared" ca="1" si="79"/>
        <v>44</v>
      </c>
      <c r="J516" s="38" t="str">
        <f t="shared" si="73"/>
        <v>Décio Santos</v>
      </c>
      <c r="K516" s="39">
        <f t="shared" si="74"/>
        <v>969</v>
      </c>
      <c r="L516" s="39">
        <f t="shared" si="75"/>
        <v>141959</v>
      </c>
      <c r="M516" s="40">
        <f t="shared" si="80"/>
        <v>28093</v>
      </c>
      <c r="N516" s="41" t="str">
        <f t="shared" ca="1" si="81"/>
        <v>V 40</v>
      </c>
      <c r="O516" s="41" t="str">
        <f t="shared" si="76"/>
        <v>M</v>
      </c>
      <c r="P516" s="60" t="str">
        <f t="shared" si="77"/>
        <v>IND-M</v>
      </c>
      <c r="Q516" s="61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3">
      <c r="A517" s="28">
        <v>972</v>
      </c>
      <c r="B517" s="28">
        <v>158654</v>
      </c>
      <c r="C517" s="129" t="s">
        <v>1170</v>
      </c>
      <c r="D517" s="128" t="s">
        <v>148</v>
      </c>
      <c r="E517" s="128" t="s">
        <v>145</v>
      </c>
      <c r="F517" s="29">
        <v>29679</v>
      </c>
      <c r="G517" s="56" t="str">
        <f t="shared" ca="1" si="78"/>
        <v>V 40</v>
      </c>
      <c r="H517" s="28">
        <f t="shared" ca="1" si="79"/>
        <v>40</v>
      </c>
      <c r="J517" s="38" t="str">
        <f t="shared" si="73"/>
        <v>Óscar Coelho</v>
      </c>
      <c r="K517" s="39">
        <f t="shared" si="74"/>
        <v>972</v>
      </c>
      <c r="L517" s="39">
        <f t="shared" si="75"/>
        <v>158654</v>
      </c>
      <c r="M517" s="40">
        <f t="shared" si="80"/>
        <v>29679</v>
      </c>
      <c r="N517" s="41" t="str">
        <f t="shared" ca="1" si="81"/>
        <v>V 40</v>
      </c>
      <c r="O517" s="41" t="str">
        <f t="shared" si="76"/>
        <v>M</v>
      </c>
      <c r="P517" s="60" t="str">
        <f t="shared" si="77"/>
        <v>IND-M</v>
      </c>
      <c r="Q517" s="61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3">
      <c r="A518" s="28">
        <v>1516</v>
      </c>
      <c r="B518" s="28">
        <v>154053</v>
      </c>
      <c r="C518" s="129" t="s">
        <v>1040</v>
      </c>
      <c r="D518" s="128" t="s">
        <v>1042</v>
      </c>
      <c r="E518" s="128" t="s">
        <v>145</v>
      </c>
      <c r="F518" s="29">
        <v>30482</v>
      </c>
      <c r="G518" s="56" t="str">
        <f t="shared" ca="1" si="78"/>
        <v>V 35</v>
      </c>
      <c r="H518" s="28">
        <f t="shared" ca="1" si="79"/>
        <v>37</v>
      </c>
      <c r="J518" s="38" t="str">
        <f t="shared" si="73"/>
        <v>Tony Gouveia</v>
      </c>
      <c r="K518" s="39">
        <f t="shared" si="74"/>
        <v>1516</v>
      </c>
      <c r="L518" s="39">
        <f t="shared" si="75"/>
        <v>154053</v>
      </c>
      <c r="M518" s="40">
        <f t="shared" si="80"/>
        <v>30482</v>
      </c>
      <c r="N518" s="41" t="str">
        <f t="shared" ca="1" si="81"/>
        <v>V 35</v>
      </c>
      <c r="O518" s="41" t="str">
        <f t="shared" si="76"/>
        <v>M</v>
      </c>
      <c r="P518" s="60" t="str">
        <f t="shared" si="77"/>
        <v>ADCSAS</v>
      </c>
      <c r="Q518" s="61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3">
      <c r="A519" s="28">
        <v>1510</v>
      </c>
      <c r="B519" s="28">
        <v>159637</v>
      </c>
      <c r="C519" s="129" t="s">
        <v>1142</v>
      </c>
      <c r="D519" s="128" t="s">
        <v>1042</v>
      </c>
      <c r="E519" s="128" t="s">
        <v>145</v>
      </c>
      <c r="F519" s="29">
        <v>22051</v>
      </c>
      <c r="G519" s="56" t="str">
        <f t="shared" ca="1" si="78"/>
        <v>V 60</v>
      </c>
      <c r="H519" s="28">
        <f t="shared" ca="1" si="79"/>
        <v>60</v>
      </c>
      <c r="J519" s="38" t="str">
        <f t="shared" si="73"/>
        <v>Luís Meneses</v>
      </c>
      <c r="K519" s="39">
        <f t="shared" si="74"/>
        <v>1510</v>
      </c>
      <c r="L519" s="39">
        <f t="shared" si="75"/>
        <v>159637</v>
      </c>
      <c r="M519" s="40">
        <f t="shared" si="80"/>
        <v>22051</v>
      </c>
      <c r="N519" s="41" t="str">
        <f t="shared" ca="1" si="81"/>
        <v>V 60</v>
      </c>
      <c r="O519" s="41" t="str">
        <f t="shared" si="76"/>
        <v>M</v>
      </c>
      <c r="P519" s="60" t="str">
        <f t="shared" si="77"/>
        <v>ADCSAS</v>
      </c>
      <c r="Q519" s="61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3">
      <c r="A520" s="28">
        <v>131</v>
      </c>
      <c r="B520" s="28">
        <v>124999</v>
      </c>
      <c r="C520" s="129" t="s">
        <v>1112</v>
      </c>
      <c r="D520" s="128" t="s">
        <v>153</v>
      </c>
      <c r="E520" s="128" t="s">
        <v>146</v>
      </c>
      <c r="F520" s="29">
        <v>29602</v>
      </c>
      <c r="G520" s="56" t="str">
        <f t="shared" ca="1" si="78"/>
        <v>V 40</v>
      </c>
      <c r="H520" s="28">
        <f t="shared" ca="1" si="79"/>
        <v>40</v>
      </c>
      <c r="J520" s="38" t="str">
        <f t="shared" si="73"/>
        <v>Cátia Jardim</v>
      </c>
      <c r="K520" s="39">
        <f t="shared" si="74"/>
        <v>131</v>
      </c>
      <c r="L520" s="39">
        <f t="shared" si="75"/>
        <v>124999</v>
      </c>
      <c r="M520" s="40">
        <f t="shared" si="80"/>
        <v>29602</v>
      </c>
      <c r="N520" s="41" t="str">
        <f t="shared" ca="1" si="81"/>
        <v>V 40</v>
      </c>
      <c r="O520" s="41" t="str">
        <f t="shared" si="76"/>
        <v>F</v>
      </c>
      <c r="P520" s="60" t="str">
        <f t="shared" si="77"/>
        <v>CDI-M</v>
      </c>
      <c r="Q520" s="61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3">
      <c r="A521" s="28">
        <v>1217</v>
      </c>
      <c r="B521" s="28">
        <v>129957</v>
      </c>
      <c r="C521" s="129" t="s">
        <v>395</v>
      </c>
      <c r="D521" s="128" t="s">
        <v>153</v>
      </c>
      <c r="E521" s="128" t="s">
        <v>145</v>
      </c>
      <c r="F521" s="29">
        <v>32050</v>
      </c>
      <c r="G521" s="56" t="str">
        <f t="shared" ca="1" si="78"/>
        <v>Sénior</v>
      </c>
      <c r="H521" s="28">
        <f t="shared" ca="1" si="79"/>
        <v>33</v>
      </c>
      <c r="J521" s="38" t="str">
        <f t="shared" si="73"/>
        <v>Henrique Rosa</v>
      </c>
      <c r="K521" s="39">
        <f t="shared" si="74"/>
        <v>1217</v>
      </c>
      <c r="L521" s="39">
        <f t="shared" si="75"/>
        <v>129957</v>
      </c>
      <c r="M521" s="40">
        <f t="shared" si="80"/>
        <v>32050</v>
      </c>
      <c r="N521" s="41" t="str">
        <f t="shared" ca="1" si="81"/>
        <v>Sénior</v>
      </c>
      <c r="O521" s="41" t="str">
        <f t="shared" si="76"/>
        <v>M</v>
      </c>
      <c r="P521" s="60" t="str">
        <f t="shared" si="77"/>
        <v>CDI-M</v>
      </c>
      <c r="Q521" s="6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3">
      <c r="A522" s="28">
        <v>1198</v>
      </c>
      <c r="B522" s="28">
        <v>130288</v>
      </c>
      <c r="C522" s="129" t="s">
        <v>317</v>
      </c>
      <c r="D522" s="128" t="s">
        <v>153</v>
      </c>
      <c r="E522" s="128" t="s">
        <v>145</v>
      </c>
      <c r="F522" s="29">
        <v>18361</v>
      </c>
      <c r="G522" s="56" t="str">
        <f t="shared" ca="1" si="78"/>
        <v>V 70</v>
      </c>
      <c r="H522" s="28">
        <f t="shared" ca="1" si="79"/>
        <v>71</v>
      </c>
      <c r="J522" s="38" t="str">
        <f t="shared" si="73"/>
        <v>Álvaro Sousa</v>
      </c>
      <c r="K522" s="39">
        <f t="shared" si="74"/>
        <v>1198</v>
      </c>
      <c r="L522" s="39">
        <f t="shared" si="75"/>
        <v>130288</v>
      </c>
      <c r="M522" s="40">
        <f t="shared" si="80"/>
        <v>18361</v>
      </c>
      <c r="N522" s="41" t="str">
        <f t="shared" ca="1" si="81"/>
        <v>V 70</v>
      </c>
      <c r="O522" s="41" t="str">
        <f t="shared" si="76"/>
        <v>M</v>
      </c>
      <c r="P522" s="60" t="str">
        <f t="shared" si="77"/>
        <v>CDI-M</v>
      </c>
      <c r="Q522" s="61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3">
      <c r="A523" s="28">
        <v>1209</v>
      </c>
      <c r="B523" s="28">
        <v>139572</v>
      </c>
      <c r="C523" s="129" t="s">
        <v>462</v>
      </c>
      <c r="D523" s="128" t="s">
        <v>153</v>
      </c>
      <c r="E523" s="128" t="s">
        <v>145</v>
      </c>
      <c r="F523" s="29">
        <v>30409</v>
      </c>
      <c r="G523" s="56" t="str">
        <f t="shared" ca="1" si="78"/>
        <v>V 35</v>
      </c>
      <c r="H523" s="28">
        <f t="shared" ca="1" si="79"/>
        <v>38</v>
      </c>
      <c r="J523" s="38" t="str">
        <f t="shared" si="73"/>
        <v>Célio Silva</v>
      </c>
      <c r="K523" s="39">
        <f t="shared" si="74"/>
        <v>1209</v>
      </c>
      <c r="L523" s="39">
        <f t="shared" si="75"/>
        <v>139572</v>
      </c>
      <c r="M523" s="40">
        <f t="shared" si="80"/>
        <v>30409</v>
      </c>
      <c r="N523" s="41" t="str">
        <f t="shared" ca="1" si="81"/>
        <v>V 35</v>
      </c>
      <c r="O523" s="41" t="str">
        <f t="shared" si="76"/>
        <v>M</v>
      </c>
      <c r="P523" s="60" t="str">
        <f t="shared" si="77"/>
        <v>CDI-M</v>
      </c>
      <c r="Q523" s="61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3">
      <c r="A524" s="28">
        <v>1208</v>
      </c>
      <c r="B524" s="28">
        <v>141168</v>
      </c>
      <c r="C524" s="129" t="s">
        <v>519</v>
      </c>
      <c r="D524" s="128" t="s">
        <v>153</v>
      </c>
      <c r="E524" s="128" t="s">
        <v>145</v>
      </c>
      <c r="F524" s="29">
        <v>30382</v>
      </c>
      <c r="G524" s="56" t="str">
        <f t="shared" ca="1" si="78"/>
        <v>V 35</v>
      </c>
      <c r="H524" s="28">
        <f t="shared" ca="1" si="79"/>
        <v>38</v>
      </c>
      <c r="J524" s="38" t="str">
        <f t="shared" si="73"/>
        <v>Nélson C. Fernandes</v>
      </c>
      <c r="K524" s="39">
        <f t="shared" si="74"/>
        <v>1208</v>
      </c>
      <c r="L524" s="39">
        <f t="shared" si="75"/>
        <v>141168</v>
      </c>
      <c r="M524" s="40">
        <f t="shared" si="80"/>
        <v>30382</v>
      </c>
      <c r="N524" s="41" t="str">
        <f t="shared" ca="1" si="81"/>
        <v>V 35</v>
      </c>
      <c r="O524" s="41" t="str">
        <f t="shared" si="76"/>
        <v>M</v>
      </c>
      <c r="P524" s="60" t="str">
        <f t="shared" si="77"/>
        <v>CDI-M</v>
      </c>
      <c r="Q524" s="61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3">
      <c r="A525" s="28">
        <v>1200</v>
      </c>
      <c r="B525" s="28">
        <v>143630</v>
      </c>
      <c r="C525" s="129" t="s">
        <v>566</v>
      </c>
      <c r="D525" s="128" t="s">
        <v>153</v>
      </c>
      <c r="E525" s="128" t="s">
        <v>145</v>
      </c>
      <c r="F525" s="29">
        <v>28957</v>
      </c>
      <c r="G525" s="56" t="str">
        <f t="shared" ca="1" si="78"/>
        <v>V 40</v>
      </c>
      <c r="H525" s="28">
        <f t="shared" ca="1" si="79"/>
        <v>42</v>
      </c>
      <c r="J525" s="38" t="str">
        <f t="shared" si="73"/>
        <v>Manuel Sousa</v>
      </c>
      <c r="K525" s="39">
        <f t="shared" si="74"/>
        <v>1200</v>
      </c>
      <c r="L525" s="39">
        <f t="shared" si="75"/>
        <v>143630</v>
      </c>
      <c r="M525" s="40">
        <f t="shared" si="80"/>
        <v>28957</v>
      </c>
      <c r="N525" s="41" t="str">
        <f t="shared" ca="1" si="81"/>
        <v>V 40</v>
      </c>
      <c r="O525" s="41" t="str">
        <f t="shared" si="76"/>
        <v>M</v>
      </c>
      <c r="P525" s="60" t="str">
        <f t="shared" si="77"/>
        <v>CDI-M</v>
      </c>
      <c r="Q525" s="61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3">
      <c r="A526" s="28">
        <v>134</v>
      </c>
      <c r="B526" s="28">
        <v>145126</v>
      </c>
      <c r="C526" s="129" t="s">
        <v>568</v>
      </c>
      <c r="D526" s="128" t="s">
        <v>153</v>
      </c>
      <c r="E526" s="128" t="s">
        <v>146</v>
      </c>
      <c r="F526" s="29">
        <v>29346</v>
      </c>
      <c r="G526" s="56" t="str">
        <f t="shared" ca="1" si="78"/>
        <v>V 40</v>
      </c>
      <c r="H526" s="28">
        <f t="shared" ca="1" si="79"/>
        <v>40</v>
      </c>
      <c r="J526" s="38" t="str">
        <f t="shared" si="73"/>
        <v>Rita Oliveira</v>
      </c>
      <c r="K526" s="39">
        <f t="shared" si="74"/>
        <v>134</v>
      </c>
      <c r="L526" s="39">
        <f t="shared" si="75"/>
        <v>145126</v>
      </c>
      <c r="M526" s="40">
        <f t="shared" si="80"/>
        <v>29346</v>
      </c>
      <c r="N526" s="41" t="str">
        <f t="shared" ca="1" si="81"/>
        <v>V 40</v>
      </c>
      <c r="O526" s="41" t="str">
        <f t="shared" si="76"/>
        <v>F</v>
      </c>
      <c r="P526" s="60" t="str">
        <f t="shared" si="77"/>
        <v>CDI-M</v>
      </c>
      <c r="Q526" s="61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3">
      <c r="A527" s="28">
        <v>1216</v>
      </c>
      <c r="B527" s="28">
        <v>147487</v>
      </c>
      <c r="C527" s="129" t="s">
        <v>640</v>
      </c>
      <c r="D527" s="128" t="s">
        <v>153</v>
      </c>
      <c r="E527" s="128" t="s">
        <v>145</v>
      </c>
      <c r="F527" s="29">
        <v>31672</v>
      </c>
      <c r="G527" s="56" t="str">
        <f t="shared" ca="1" si="78"/>
        <v>Sénior</v>
      </c>
      <c r="H527" s="28">
        <f t="shared" ca="1" si="79"/>
        <v>34</v>
      </c>
      <c r="J527" s="38" t="str">
        <f t="shared" si="73"/>
        <v>Fábio S. Rodrigues</v>
      </c>
      <c r="K527" s="39">
        <f t="shared" si="74"/>
        <v>1216</v>
      </c>
      <c r="L527" s="39">
        <f t="shared" si="75"/>
        <v>147487</v>
      </c>
      <c r="M527" s="40">
        <f t="shared" si="80"/>
        <v>31672</v>
      </c>
      <c r="N527" s="41" t="str">
        <f t="shared" ca="1" si="81"/>
        <v>Sénior</v>
      </c>
      <c r="O527" s="41" t="str">
        <f t="shared" si="76"/>
        <v>M</v>
      </c>
      <c r="P527" s="60" t="str">
        <f t="shared" si="77"/>
        <v>CDI-M</v>
      </c>
      <c r="Q527" s="61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3">
      <c r="A528" s="28">
        <v>1215</v>
      </c>
      <c r="B528" s="28">
        <v>152710</v>
      </c>
      <c r="C528" s="129" t="s">
        <v>817</v>
      </c>
      <c r="D528" s="128" t="s">
        <v>153</v>
      </c>
      <c r="E528" s="128" t="s">
        <v>145</v>
      </c>
      <c r="F528" s="29">
        <v>32957</v>
      </c>
      <c r="G528" s="56" t="str">
        <f t="shared" ca="1" si="78"/>
        <v>Sénior</v>
      </c>
      <c r="H528" s="28">
        <f t="shared" ca="1" si="79"/>
        <v>31</v>
      </c>
      <c r="J528" s="38" t="str">
        <f t="shared" si="73"/>
        <v>Ricardo Macedo</v>
      </c>
      <c r="K528" s="39">
        <f t="shared" si="74"/>
        <v>1215</v>
      </c>
      <c r="L528" s="39">
        <f t="shared" si="75"/>
        <v>152710</v>
      </c>
      <c r="M528" s="40">
        <f t="shared" si="80"/>
        <v>32957</v>
      </c>
      <c r="N528" s="41" t="str">
        <f t="shared" ca="1" si="81"/>
        <v>Sénior</v>
      </c>
      <c r="O528" s="41" t="str">
        <f t="shared" si="76"/>
        <v>M</v>
      </c>
      <c r="P528" s="60" t="str">
        <f t="shared" si="77"/>
        <v>CDI-M</v>
      </c>
      <c r="Q528" s="61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3">
      <c r="A529" s="28">
        <v>1214</v>
      </c>
      <c r="B529" s="28">
        <v>154639</v>
      </c>
      <c r="C529" s="129" t="s">
        <v>971</v>
      </c>
      <c r="D529" s="128" t="s">
        <v>153</v>
      </c>
      <c r="E529" s="128" t="s">
        <v>145</v>
      </c>
      <c r="F529" s="29">
        <v>31487</v>
      </c>
      <c r="G529" s="56" t="str">
        <f t="shared" ca="1" si="78"/>
        <v>V 35</v>
      </c>
      <c r="H529" s="28">
        <f t="shared" ca="1" si="79"/>
        <v>35</v>
      </c>
      <c r="J529" s="38" t="str">
        <f t="shared" si="73"/>
        <v>João L. Camacho</v>
      </c>
      <c r="K529" s="39">
        <f t="shared" si="74"/>
        <v>1214</v>
      </c>
      <c r="L529" s="39">
        <f t="shared" si="75"/>
        <v>154639</v>
      </c>
      <c r="M529" s="40">
        <f t="shared" si="80"/>
        <v>31487</v>
      </c>
      <c r="N529" s="41" t="str">
        <f t="shared" ca="1" si="81"/>
        <v>V 35</v>
      </c>
      <c r="O529" s="41" t="str">
        <f t="shared" si="76"/>
        <v>M</v>
      </c>
      <c r="P529" s="60" t="str">
        <f t="shared" si="77"/>
        <v>CDI-M</v>
      </c>
      <c r="Q529" s="61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3">
      <c r="A530" s="28">
        <v>1213</v>
      </c>
      <c r="B530" s="28">
        <v>162098</v>
      </c>
      <c r="C530" s="129" t="s">
        <v>1390</v>
      </c>
      <c r="D530" s="128" t="s">
        <v>153</v>
      </c>
      <c r="E530" s="128" t="s">
        <v>145</v>
      </c>
      <c r="F530" s="29">
        <v>34066</v>
      </c>
      <c r="G530" s="56" t="str">
        <f t="shared" ca="1" si="78"/>
        <v>Sénior</v>
      </c>
      <c r="H530" s="28">
        <f t="shared" ca="1" si="79"/>
        <v>28</v>
      </c>
      <c r="J530" s="38" t="str">
        <f t="shared" si="73"/>
        <v>João Nascimento</v>
      </c>
      <c r="K530" s="39">
        <f t="shared" si="74"/>
        <v>1213</v>
      </c>
      <c r="L530" s="39">
        <f t="shared" si="75"/>
        <v>162098</v>
      </c>
      <c r="M530" s="40">
        <f t="shared" si="80"/>
        <v>34066</v>
      </c>
      <c r="N530" s="41" t="str">
        <f t="shared" ca="1" si="81"/>
        <v>Sénior</v>
      </c>
      <c r="O530" s="41" t="str">
        <f t="shared" si="76"/>
        <v>M</v>
      </c>
      <c r="P530" s="60" t="str">
        <f t="shared" si="77"/>
        <v>CDI-M</v>
      </c>
      <c r="Q530" s="61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3">
      <c r="A531" s="28">
        <v>132</v>
      </c>
      <c r="B531" s="28">
        <v>163447</v>
      </c>
      <c r="C531" s="129" t="s">
        <v>1440</v>
      </c>
      <c r="D531" s="128" t="s">
        <v>153</v>
      </c>
      <c r="E531" s="128" t="s">
        <v>146</v>
      </c>
      <c r="F531" s="29">
        <v>29759</v>
      </c>
      <c r="G531" s="56" t="str">
        <f t="shared" ca="1" si="78"/>
        <v>V 35</v>
      </c>
      <c r="H531" s="28">
        <f t="shared" ca="1" si="79"/>
        <v>39</v>
      </c>
      <c r="J531" s="38" t="str">
        <f t="shared" si="73"/>
        <v>Nádia Coelho</v>
      </c>
      <c r="K531" s="39">
        <f t="shared" si="74"/>
        <v>132</v>
      </c>
      <c r="L531" s="39">
        <f t="shared" si="75"/>
        <v>163447</v>
      </c>
      <c r="M531" s="40">
        <f t="shared" si="80"/>
        <v>29759</v>
      </c>
      <c r="N531" s="41" t="str">
        <f t="shared" ca="1" si="81"/>
        <v>V 35</v>
      </c>
      <c r="O531" s="41" t="str">
        <f t="shared" si="76"/>
        <v>F</v>
      </c>
      <c r="P531" s="60" t="str">
        <f t="shared" si="77"/>
        <v>CDI-M</v>
      </c>
      <c r="Q531" s="6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3">
      <c r="A532" s="28">
        <v>1513</v>
      </c>
      <c r="B532" s="28">
        <v>155335</v>
      </c>
      <c r="C532" s="129" t="s">
        <v>1041</v>
      </c>
      <c r="D532" s="128" t="s">
        <v>1042</v>
      </c>
      <c r="E532" s="128" t="s">
        <v>145</v>
      </c>
      <c r="F532" s="29">
        <v>27817</v>
      </c>
      <c r="G532" s="56" t="str">
        <f t="shared" ca="1" si="78"/>
        <v>V 45</v>
      </c>
      <c r="H532" s="28">
        <f t="shared" ca="1" si="79"/>
        <v>45</v>
      </c>
      <c r="J532" s="38" t="str">
        <f t="shared" si="73"/>
        <v>João Spínola</v>
      </c>
      <c r="K532" s="39">
        <f t="shared" si="74"/>
        <v>1513</v>
      </c>
      <c r="L532" s="39">
        <f t="shared" si="75"/>
        <v>155335</v>
      </c>
      <c r="M532" s="40">
        <f t="shared" si="80"/>
        <v>27817</v>
      </c>
      <c r="N532" s="41" t="str">
        <f t="shared" ca="1" si="81"/>
        <v>V 45</v>
      </c>
      <c r="O532" s="41" t="str">
        <f t="shared" si="76"/>
        <v>M</v>
      </c>
      <c r="P532" s="60" t="str">
        <f t="shared" si="77"/>
        <v>ADCSAS</v>
      </c>
      <c r="Q532" s="61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3">
      <c r="A533" s="28">
        <v>1512</v>
      </c>
      <c r="B533" s="28">
        <v>154238</v>
      </c>
      <c r="C533" s="129" t="s">
        <v>1038</v>
      </c>
      <c r="D533" s="128" t="s">
        <v>1042</v>
      </c>
      <c r="E533" s="128" t="s">
        <v>145</v>
      </c>
      <c r="F533" s="29">
        <v>29435</v>
      </c>
      <c r="G533" s="56" t="str">
        <f t="shared" ca="1" si="78"/>
        <v>V 40</v>
      </c>
      <c r="H533" s="28">
        <f t="shared" ca="1" si="79"/>
        <v>40</v>
      </c>
      <c r="J533" s="38" t="str">
        <f t="shared" si="73"/>
        <v>António A. Gouveia</v>
      </c>
      <c r="K533" s="39">
        <f t="shared" si="74"/>
        <v>1512</v>
      </c>
      <c r="L533" s="39">
        <f t="shared" si="75"/>
        <v>154238</v>
      </c>
      <c r="M533" s="40">
        <f t="shared" si="80"/>
        <v>29435</v>
      </c>
      <c r="N533" s="41" t="str">
        <f t="shared" ca="1" si="81"/>
        <v>V 40</v>
      </c>
      <c r="O533" s="41" t="str">
        <f t="shared" si="76"/>
        <v>M</v>
      </c>
      <c r="P533" s="60" t="str">
        <f t="shared" si="77"/>
        <v>ADCSAS</v>
      </c>
      <c r="Q533" s="61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3">
      <c r="A534" s="28">
        <v>1517</v>
      </c>
      <c r="B534" s="28">
        <v>163399</v>
      </c>
      <c r="C534" s="129" t="s">
        <v>1484</v>
      </c>
      <c r="D534" s="128" t="s">
        <v>1042</v>
      </c>
      <c r="E534" s="128" t="s">
        <v>145</v>
      </c>
      <c r="F534" s="29">
        <v>33024</v>
      </c>
      <c r="G534" s="56" t="str">
        <f t="shared" ca="1" si="78"/>
        <v>Sénior</v>
      </c>
      <c r="H534" s="28">
        <f t="shared" ca="1" si="79"/>
        <v>30</v>
      </c>
      <c r="J534" s="38" t="str">
        <f t="shared" si="73"/>
        <v>José Viveiros</v>
      </c>
      <c r="K534" s="39">
        <f t="shared" si="74"/>
        <v>1517</v>
      </c>
      <c r="L534" s="39">
        <f t="shared" si="75"/>
        <v>163399</v>
      </c>
      <c r="M534" s="40">
        <f t="shared" si="80"/>
        <v>33024</v>
      </c>
      <c r="N534" s="41" t="str">
        <f t="shared" ca="1" si="81"/>
        <v>Sénior</v>
      </c>
      <c r="O534" s="41" t="str">
        <f t="shared" si="76"/>
        <v>M</v>
      </c>
      <c r="P534" s="60" t="str">
        <f t="shared" si="77"/>
        <v>ADCSAS</v>
      </c>
      <c r="Q534" s="61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3">
      <c r="A535" s="28">
        <v>1515</v>
      </c>
      <c r="B535" s="28">
        <v>140473</v>
      </c>
      <c r="C535" s="129" t="s">
        <v>1485</v>
      </c>
      <c r="D535" s="128" t="s">
        <v>1042</v>
      </c>
      <c r="E535" s="128" t="s">
        <v>145</v>
      </c>
      <c r="F535" s="29">
        <v>31347</v>
      </c>
      <c r="G535" s="56" t="str">
        <f t="shared" ca="1" si="78"/>
        <v>V 35</v>
      </c>
      <c r="H535" s="28">
        <f t="shared" ca="1" si="79"/>
        <v>35</v>
      </c>
      <c r="J535" s="38" t="str">
        <f t="shared" si="73"/>
        <v>Fábio Vieira</v>
      </c>
      <c r="K535" s="39">
        <f t="shared" si="74"/>
        <v>1515</v>
      </c>
      <c r="L535" s="39">
        <f t="shared" si="75"/>
        <v>140473</v>
      </c>
      <c r="M535" s="40">
        <f t="shared" si="80"/>
        <v>31347</v>
      </c>
      <c r="N535" s="41" t="str">
        <f t="shared" ca="1" si="81"/>
        <v>V 35</v>
      </c>
      <c r="O535" s="41" t="str">
        <f t="shared" si="76"/>
        <v>M</v>
      </c>
      <c r="P535" s="60" t="str">
        <f t="shared" si="77"/>
        <v>ADCSAS</v>
      </c>
      <c r="Q535" s="61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3">
      <c r="A536" s="28">
        <v>1514</v>
      </c>
      <c r="B536" s="28">
        <v>158969</v>
      </c>
      <c r="C536" s="129" t="s">
        <v>1141</v>
      </c>
      <c r="D536" s="128" t="s">
        <v>1042</v>
      </c>
      <c r="E536" s="128" t="s">
        <v>145</v>
      </c>
      <c r="F536" s="29">
        <v>30187</v>
      </c>
      <c r="G536" s="56" t="str">
        <f t="shared" ca="1" si="78"/>
        <v>V 35</v>
      </c>
      <c r="H536" s="28">
        <f t="shared" ca="1" si="79"/>
        <v>38</v>
      </c>
      <c r="J536" s="38" t="str">
        <f t="shared" si="73"/>
        <v>Hugo Barradas</v>
      </c>
      <c r="K536" s="39">
        <f t="shared" si="74"/>
        <v>1514</v>
      </c>
      <c r="L536" s="39">
        <f t="shared" si="75"/>
        <v>158969</v>
      </c>
      <c r="M536" s="40">
        <f t="shared" si="80"/>
        <v>30187</v>
      </c>
      <c r="N536" s="41" t="str">
        <f t="shared" ca="1" si="81"/>
        <v>V 35</v>
      </c>
      <c r="O536" s="41" t="str">
        <f t="shared" si="76"/>
        <v>M</v>
      </c>
      <c r="P536" s="60" t="str">
        <f t="shared" si="77"/>
        <v>ADCSAS</v>
      </c>
      <c r="Q536" s="61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3">
      <c r="A537" s="28">
        <v>1511</v>
      </c>
      <c r="B537" s="28">
        <v>154515</v>
      </c>
      <c r="C537" s="129" t="s">
        <v>1039</v>
      </c>
      <c r="D537" s="128" t="s">
        <v>1042</v>
      </c>
      <c r="E537" s="128" t="s">
        <v>145</v>
      </c>
      <c r="F537" s="29">
        <v>26485</v>
      </c>
      <c r="G537" s="56" t="str">
        <f t="shared" ca="1" si="78"/>
        <v>V 45</v>
      </c>
      <c r="H537" s="28">
        <f t="shared" ca="1" si="79"/>
        <v>48</v>
      </c>
      <c r="J537" s="38" t="str">
        <f t="shared" si="73"/>
        <v>José de Abreu</v>
      </c>
      <c r="K537" s="39">
        <f t="shared" si="74"/>
        <v>1511</v>
      </c>
      <c r="L537" s="39">
        <f t="shared" si="75"/>
        <v>154515</v>
      </c>
      <c r="M537" s="40">
        <f t="shared" si="80"/>
        <v>26485</v>
      </c>
      <c r="N537" s="41" t="str">
        <f t="shared" ca="1" si="81"/>
        <v>V 45</v>
      </c>
      <c r="O537" s="41" t="str">
        <f t="shared" si="76"/>
        <v>M</v>
      </c>
      <c r="P537" s="60" t="str">
        <f t="shared" si="77"/>
        <v>ADCSAS</v>
      </c>
      <c r="Q537" s="61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3">
      <c r="A538" s="28">
        <v>1547</v>
      </c>
      <c r="B538" s="28">
        <v>158088</v>
      </c>
      <c r="C538" s="129" t="s">
        <v>1642</v>
      </c>
      <c r="D538" s="128" t="s">
        <v>1646</v>
      </c>
      <c r="E538" s="128" t="s">
        <v>145</v>
      </c>
      <c r="F538" s="29">
        <v>32838</v>
      </c>
      <c r="G538" s="56" t="str">
        <f t="shared" ca="1" si="78"/>
        <v>Sénior</v>
      </c>
      <c r="H538" s="28">
        <f t="shared" ca="1" si="79"/>
        <v>31</v>
      </c>
      <c r="J538" s="38" t="str">
        <f t="shared" si="73"/>
        <v>Carlos F. Fernandes</v>
      </c>
      <c r="K538" s="39">
        <f t="shared" si="74"/>
        <v>1547</v>
      </c>
      <c r="L538" s="39">
        <f t="shared" si="75"/>
        <v>158088</v>
      </c>
      <c r="M538" s="40">
        <f t="shared" si="80"/>
        <v>32838</v>
      </c>
      <c r="N538" s="41" t="str">
        <f t="shared" ca="1" si="81"/>
        <v>Sénior</v>
      </c>
      <c r="O538" s="41" t="str">
        <f t="shared" si="76"/>
        <v>M</v>
      </c>
      <c r="P538" s="60" t="str">
        <f t="shared" si="77"/>
        <v>AAM-M</v>
      </c>
      <c r="Q538" s="61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3">
      <c r="A539" s="28">
        <v>2051</v>
      </c>
      <c r="B539" s="28">
        <v>163567</v>
      </c>
      <c r="C539" s="129" t="s">
        <v>1633</v>
      </c>
      <c r="D539" s="128" t="s">
        <v>1646</v>
      </c>
      <c r="E539" s="128" t="s">
        <v>146</v>
      </c>
      <c r="F539" s="29">
        <v>41733</v>
      </c>
      <c r="G539" s="56" t="str">
        <f t="shared" ca="1" si="78"/>
        <v>Benjamim A</v>
      </c>
      <c r="H539" s="28">
        <f t="shared" ca="1" si="79"/>
        <v>7</v>
      </c>
      <c r="J539" s="38" t="str">
        <f t="shared" si="73"/>
        <v>Vera Fernandes</v>
      </c>
      <c r="K539" s="39">
        <f t="shared" si="74"/>
        <v>2051</v>
      </c>
      <c r="L539" s="39">
        <f t="shared" si="75"/>
        <v>163567</v>
      </c>
      <c r="M539" s="40">
        <f t="shared" si="80"/>
        <v>41733</v>
      </c>
      <c r="N539" s="41" t="str">
        <f t="shared" ca="1" si="81"/>
        <v>Benjamim A</v>
      </c>
      <c r="O539" s="41" t="str">
        <f t="shared" si="76"/>
        <v>F</v>
      </c>
      <c r="P539" s="60" t="str">
        <f t="shared" si="77"/>
        <v>AAM-M</v>
      </c>
      <c r="Q539" s="61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3">
      <c r="A540" s="28">
        <v>1266</v>
      </c>
      <c r="B540" s="28">
        <v>129268</v>
      </c>
      <c r="C540" s="129" t="s">
        <v>1199</v>
      </c>
      <c r="D540" s="128" t="s">
        <v>171</v>
      </c>
      <c r="E540" s="128" t="s">
        <v>145</v>
      </c>
      <c r="F540" s="29">
        <v>36460</v>
      </c>
      <c r="G540" s="56" t="str">
        <f t="shared" ca="1" si="78"/>
        <v>sub 23</v>
      </c>
      <c r="H540" s="28">
        <f t="shared" ca="1" si="79"/>
        <v>21</v>
      </c>
      <c r="J540" s="38" t="str">
        <f t="shared" si="73"/>
        <v>André A. Gonçalves</v>
      </c>
      <c r="K540" s="39">
        <f t="shared" si="74"/>
        <v>1266</v>
      </c>
      <c r="L540" s="39">
        <f t="shared" si="75"/>
        <v>129268</v>
      </c>
      <c r="M540" s="40">
        <f t="shared" si="80"/>
        <v>36460</v>
      </c>
      <c r="N540" s="41" t="str">
        <f t="shared" ca="1" si="81"/>
        <v>sub 23</v>
      </c>
      <c r="O540" s="41" t="str">
        <f t="shared" si="76"/>
        <v>M</v>
      </c>
      <c r="P540" s="60" t="str">
        <f t="shared" si="77"/>
        <v>CDES</v>
      </c>
      <c r="Q540" s="61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3">
      <c r="A541" s="28">
        <v>1265</v>
      </c>
      <c r="B541" s="28">
        <v>155449</v>
      </c>
      <c r="C541" s="129" t="s">
        <v>1044</v>
      </c>
      <c r="D541" s="128" t="s">
        <v>171</v>
      </c>
      <c r="E541" s="128" t="s">
        <v>145</v>
      </c>
      <c r="F541" s="29">
        <v>29675</v>
      </c>
      <c r="G541" s="56" t="str">
        <f t="shared" ca="1" si="78"/>
        <v>V 40</v>
      </c>
      <c r="H541" s="28">
        <f t="shared" ca="1" si="79"/>
        <v>40</v>
      </c>
      <c r="J541" s="38" t="str">
        <f t="shared" si="73"/>
        <v>Luís Barradas</v>
      </c>
      <c r="K541" s="39">
        <f t="shared" si="74"/>
        <v>1265</v>
      </c>
      <c r="L541" s="39">
        <f t="shared" si="75"/>
        <v>155449</v>
      </c>
      <c r="M541" s="40">
        <f t="shared" si="80"/>
        <v>29675</v>
      </c>
      <c r="N541" s="41" t="str">
        <f t="shared" ca="1" si="81"/>
        <v>V 40</v>
      </c>
      <c r="O541" s="41" t="str">
        <f t="shared" si="76"/>
        <v>M</v>
      </c>
      <c r="P541" s="60" t="str">
        <f t="shared" si="77"/>
        <v>CDES</v>
      </c>
      <c r="Q541" s="6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3">
      <c r="A542" s="28">
        <v>1256</v>
      </c>
      <c r="B542" s="28">
        <v>155569</v>
      </c>
      <c r="C542" s="129" t="s">
        <v>1030</v>
      </c>
      <c r="D542" s="128" t="s">
        <v>171</v>
      </c>
      <c r="E542" s="128" t="s">
        <v>145</v>
      </c>
      <c r="F542" s="29">
        <v>27789</v>
      </c>
      <c r="G542" s="56" t="str">
        <f t="shared" ca="1" si="78"/>
        <v>V 45</v>
      </c>
      <c r="H542" s="28">
        <f t="shared" ca="1" si="79"/>
        <v>45</v>
      </c>
      <c r="J542" s="38" t="str">
        <f t="shared" si="73"/>
        <v>Ricardo Caldas</v>
      </c>
      <c r="K542" s="39">
        <f t="shared" si="74"/>
        <v>1256</v>
      </c>
      <c r="L542" s="39">
        <f t="shared" si="75"/>
        <v>155569</v>
      </c>
      <c r="M542" s="40">
        <f t="shared" si="80"/>
        <v>27789</v>
      </c>
      <c r="N542" s="41" t="str">
        <f t="shared" ca="1" si="81"/>
        <v>V 45</v>
      </c>
      <c r="O542" s="41" t="str">
        <f t="shared" si="76"/>
        <v>M</v>
      </c>
      <c r="P542" s="60" t="str">
        <f t="shared" si="77"/>
        <v>CDES</v>
      </c>
      <c r="Q542" s="61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3">
      <c r="A543" s="28">
        <v>108</v>
      </c>
      <c r="B543" s="28">
        <v>130194</v>
      </c>
      <c r="C543" s="129" t="s">
        <v>1149</v>
      </c>
      <c r="D543" s="128" t="s">
        <v>171</v>
      </c>
      <c r="E543" s="128" t="s">
        <v>146</v>
      </c>
      <c r="F543" s="29">
        <v>35576</v>
      </c>
      <c r="G543" s="56" t="str">
        <f t="shared" ca="1" si="78"/>
        <v>Sénior</v>
      </c>
      <c r="H543" s="28">
        <f t="shared" ca="1" si="79"/>
        <v>23</v>
      </c>
      <c r="J543" s="38" t="str">
        <f t="shared" si="73"/>
        <v>Vanessa F. Andrade</v>
      </c>
      <c r="K543" s="39">
        <f t="shared" si="74"/>
        <v>108</v>
      </c>
      <c r="L543" s="39">
        <f t="shared" si="75"/>
        <v>130194</v>
      </c>
      <c r="M543" s="40">
        <f t="shared" si="80"/>
        <v>35576</v>
      </c>
      <c r="N543" s="41" t="str">
        <f t="shared" ca="1" si="81"/>
        <v>Sénior</v>
      </c>
      <c r="O543" s="41" t="str">
        <f t="shared" si="76"/>
        <v>F</v>
      </c>
      <c r="P543" s="60" t="str">
        <f t="shared" si="77"/>
        <v>CDES</v>
      </c>
      <c r="Q543" s="61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3">
      <c r="A544" s="28">
        <v>1236</v>
      </c>
      <c r="B544" s="28">
        <v>142423</v>
      </c>
      <c r="C544" s="129" t="s">
        <v>570</v>
      </c>
      <c r="D544" s="128" t="s">
        <v>171</v>
      </c>
      <c r="E544" s="128" t="s">
        <v>145</v>
      </c>
      <c r="F544" s="29">
        <v>26882</v>
      </c>
      <c r="G544" s="56" t="str">
        <f t="shared" ca="1" si="78"/>
        <v>V 45</v>
      </c>
      <c r="H544" s="28">
        <f t="shared" ca="1" si="79"/>
        <v>47</v>
      </c>
      <c r="J544" s="38" t="str">
        <f t="shared" si="73"/>
        <v>Gonçalo Mendes</v>
      </c>
      <c r="K544" s="39">
        <f t="shared" si="74"/>
        <v>1236</v>
      </c>
      <c r="L544" s="39">
        <f t="shared" si="75"/>
        <v>142423</v>
      </c>
      <c r="M544" s="40">
        <f t="shared" si="80"/>
        <v>26882</v>
      </c>
      <c r="N544" s="41" t="str">
        <f t="shared" ca="1" si="81"/>
        <v>V 45</v>
      </c>
      <c r="O544" s="41" t="str">
        <f t="shared" si="76"/>
        <v>M</v>
      </c>
      <c r="P544" s="60" t="str">
        <f t="shared" si="77"/>
        <v>CDES</v>
      </c>
      <c r="Q544" s="61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3">
      <c r="A545" s="28">
        <v>1255</v>
      </c>
      <c r="B545" s="28">
        <v>126846</v>
      </c>
      <c r="C545" s="129" t="s">
        <v>1163</v>
      </c>
      <c r="D545" s="128" t="s">
        <v>171</v>
      </c>
      <c r="E545" s="128" t="s">
        <v>145</v>
      </c>
      <c r="F545" s="29">
        <v>28822</v>
      </c>
      <c r="G545" s="56" t="str">
        <f t="shared" ca="1" si="78"/>
        <v>V 40</v>
      </c>
      <c r="H545" s="28">
        <f t="shared" ca="1" si="79"/>
        <v>42</v>
      </c>
      <c r="J545" s="38" t="str">
        <f t="shared" si="73"/>
        <v>António M. Santos</v>
      </c>
      <c r="K545" s="39">
        <f t="shared" si="74"/>
        <v>1255</v>
      </c>
      <c r="L545" s="39">
        <f t="shared" si="75"/>
        <v>126846</v>
      </c>
      <c r="M545" s="40">
        <f t="shared" si="80"/>
        <v>28822</v>
      </c>
      <c r="N545" s="41" t="str">
        <f t="shared" ca="1" si="81"/>
        <v>V 40</v>
      </c>
      <c r="O545" s="41" t="str">
        <f t="shared" si="76"/>
        <v>M</v>
      </c>
      <c r="P545" s="60" t="str">
        <f t="shared" si="77"/>
        <v>CDES</v>
      </c>
      <c r="Q545" s="61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3">
      <c r="A546" s="28">
        <v>1229</v>
      </c>
      <c r="B546" s="28">
        <v>147816</v>
      </c>
      <c r="C546" s="129" t="s">
        <v>734</v>
      </c>
      <c r="D546" s="128" t="s">
        <v>171</v>
      </c>
      <c r="E546" s="128" t="s">
        <v>145</v>
      </c>
      <c r="F546" s="29">
        <v>22642</v>
      </c>
      <c r="G546" s="56" t="str">
        <f t="shared" ca="1" si="78"/>
        <v>V 55</v>
      </c>
      <c r="H546" s="28">
        <f t="shared" ca="1" si="79"/>
        <v>59</v>
      </c>
      <c r="J546" s="38" t="str">
        <f t="shared" si="73"/>
        <v>José M. Santos</v>
      </c>
      <c r="K546" s="39">
        <f t="shared" si="74"/>
        <v>1229</v>
      </c>
      <c r="L546" s="39">
        <f t="shared" si="75"/>
        <v>147816</v>
      </c>
      <c r="M546" s="40">
        <f t="shared" si="80"/>
        <v>22642</v>
      </c>
      <c r="N546" s="41" t="str">
        <f t="shared" ca="1" si="81"/>
        <v>V 55</v>
      </c>
      <c r="O546" s="41" t="str">
        <f t="shared" si="76"/>
        <v>M</v>
      </c>
      <c r="P546" s="60" t="str">
        <f t="shared" si="77"/>
        <v>CDES</v>
      </c>
      <c r="Q546" s="61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3">
      <c r="A547" s="28">
        <v>2068</v>
      </c>
      <c r="B547" s="28">
        <v>153860</v>
      </c>
      <c r="C547" s="129" t="s">
        <v>928</v>
      </c>
      <c r="D547" s="128" t="s">
        <v>171</v>
      </c>
      <c r="E547" s="128" t="s">
        <v>146</v>
      </c>
      <c r="F547" s="29">
        <v>40375</v>
      </c>
      <c r="G547" s="56" t="str">
        <f t="shared" ca="1" si="78"/>
        <v>Benjamim B</v>
      </c>
      <c r="H547" s="28">
        <f t="shared" ca="1" si="79"/>
        <v>10</v>
      </c>
      <c r="J547" s="38" t="str">
        <f t="shared" si="73"/>
        <v>Rita Madureira</v>
      </c>
      <c r="K547" s="39">
        <f t="shared" si="74"/>
        <v>2068</v>
      </c>
      <c r="L547" s="39">
        <f t="shared" si="75"/>
        <v>153860</v>
      </c>
      <c r="M547" s="40">
        <f t="shared" si="80"/>
        <v>40375</v>
      </c>
      <c r="N547" s="41" t="str">
        <f t="shared" ca="1" si="81"/>
        <v>Benjamim B</v>
      </c>
      <c r="O547" s="41" t="str">
        <f t="shared" si="76"/>
        <v>F</v>
      </c>
      <c r="P547" s="60" t="str">
        <f t="shared" si="77"/>
        <v>CDES</v>
      </c>
      <c r="Q547" s="61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3">
      <c r="A548" s="28">
        <v>1254</v>
      </c>
      <c r="B548" s="28">
        <v>128259</v>
      </c>
      <c r="C548" s="129" t="s">
        <v>232</v>
      </c>
      <c r="D548" s="128" t="s">
        <v>171</v>
      </c>
      <c r="E548" s="128" t="s">
        <v>145</v>
      </c>
      <c r="F548" s="29">
        <v>28113</v>
      </c>
      <c r="G548" s="56" t="str">
        <f t="shared" ca="1" si="78"/>
        <v>V 40</v>
      </c>
      <c r="H548" s="28">
        <f t="shared" ca="1" si="79"/>
        <v>44</v>
      </c>
      <c r="J548" s="38" t="str">
        <f t="shared" si="73"/>
        <v>Luís Miguel Mendes</v>
      </c>
      <c r="K548" s="39">
        <f t="shared" si="74"/>
        <v>1254</v>
      </c>
      <c r="L548" s="39">
        <f t="shared" si="75"/>
        <v>128259</v>
      </c>
      <c r="M548" s="40">
        <f t="shared" si="80"/>
        <v>28113</v>
      </c>
      <c r="N548" s="41" t="str">
        <f t="shared" ca="1" si="81"/>
        <v>V 40</v>
      </c>
      <c r="O548" s="41" t="str">
        <f t="shared" si="76"/>
        <v>M</v>
      </c>
      <c r="P548" s="60" t="str">
        <f t="shared" si="77"/>
        <v>CDES</v>
      </c>
      <c r="Q548" s="61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3">
      <c r="A549" s="28">
        <v>1253</v>
      </c>
      <c r="B549" s="28">
        <v>145902</v>
      </c>
      <c r="C549" s="129" t="s">
        <v>576</v>
      </c>
      <c r="D549" s="128" t="s">
        <v>171</v>
      </c>
      <c r="E549" s="128" t="s">
        <v>145</v>
      </c>
      <c r="F549" s="29">
        <v>28686</v>
      </c>
      <c r="G549" s="56" t="str">
        <f t="shared" ca="1" si="78"/>
        <v>V 40</v>
      </c>
      <c r="H549" s="28">
        <f t="shared" ca="1" si="79"/>
        <v>42</v>
      </c>
      <c r="J549" s="38" t="str">
        <f t="shared" si="73"/>
        <v>Alírio Spínola</v>
      </c>
      <c r="K549" s="39">
        <f t="shared" si="74"/>
        <v>1253</v>
      </c>
      <c r="L549" s="39">
        <f t="shared" si="75"/>
        <v>145902</v>
      </c>
      <c r="M549" s="40">
        <f t="shared" si="80"/>
        <v>28686</v>
      </c>
      <c r="N549" s="41" t="str">
        <f t="shared" ca="1" si="81"/>
        <v>V 40</v>
      </c>
      <c r="O549" s="41" t="str">
        <f t="shared" si="76"/>
        <v>M</v>
      </c>
      <c r="P549" s="60" t="str">
        <f t="shared" si="77"/>
        <v>CDES</v>
      </c>
      <c r="Q549" s="61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3">
      <c r="A550" s="28">
        <v>1231</v>
      </c>
      <c r="B550" s="28">
        <v>158806</v>
      </c>
      <c r="C550" s="129" t="s">
        <v>1162</v>
      </c>
      <c r="D550" s="128" t="s">
        <v>171</v>
      </c>
      <c r="E550" s="128" t="s">
        <v>145</v>
      </c>
      <c r="F550" s="29">
        <v>24500</v>
      </c>
      <c r="G550" s="56" t="str">
        <f t="shared" ca="1" si="78"/>
        <v>V 50</v>
      </c>
      <c r="H550" s="28">
        <f t="shared" ca="1" si="79"/>
        <v>54</v>
      </c>
      <c r="J550" s="38" t="str">
        <f t="shared" si="73"/>
        <v>Manuel J. Vieira</v>
      </c>
      <c r="K550" s="39">
        <f t="shared" si="74"/>
        <v>1231</v>
      </c>
      <c r="L550" s="39">
        <f t="shared" si="75"/>
        <v>158806</v>
      </c>
      <c r="M550" s="40">
        <f t="shared" si="80"/>
        <v>24500</v>
      </c>
      <c r="N550" s="41" t="str">
        <f t="shared" ca="1" si="81"/>
        <v>V 50</v>
      </c>
      <c r="O550" s="41" t="str">
        <f t="shared" si="76"/>
        <v>M</v>
      </c>
      <c r="P550" s="60" t="str">
        <f t="shared" si="77"/>
        <v>CDES</v>
      </c>
      <c r="Q550" s="61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3">
      <c r="A551" s="28">
        <v>1235</v>
      </c>
      <c r="B551" s="28">
        <v>158001</v>
      </c>
      <c r="C551" s="129" t="s">
        <v>1158</v>
      </c>
      <c r="D551" s="128" t="s">
        <v>171</v>
      </c>
      <c r="E551" s="128" t="s">
        <v>145</v>
      </c>
      <c r="F551" s="29">
        <v>26619</v>
      </c>
      <c r="G551" s="56" t="str">
        <f t="shared" ca="1" si="78"/>
        <v>V 45</v>
      </c>
      <c r="H551" s="28">
        <f t="shared" ca="1" si="79"/>
        <v>48</v>
      </c>
      <c r="J551" s="38" t="str">
        <f t="shared" si="73"/>
        <v>Duarte Brazão</v>
      </c>
      <c r="K551" s="39">
        <f t="shared" si="74"/>
        <v>1235</v>
      </c>
      <c r="L551" s="39">
        <f t="shared" si="75"/>
        <v>158001</v>
      </c>
      <c r="M551" s="40">
        <f t="shared" si="80"/>
        <v>26619</v>
      </c>
      <c r="N551" s="41" t="str">
        <f t="shared" ca="1" si="81"/>
        <v>V 45</v>
      </c>
      <c r="O551" s="41" t="str">
        <f t="shared" si="76"/>
        <v>M</v>
      </c>
      <c r="P551" s="60" t="str">
        <f t="shared" si="77"/>
        <v>CDES</v>
      </c>
      <c r="Q551" s="6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3">
      <c r="A552" s="28">
        <v>1234</v>
      </c>
      <c r="B552" s="28">
        <v>157792</v>
      </c>
      <c r="C552" s="129" t="s">
        <v>1156</v>
      </c>
      <c r="D552" s="128" t="s">
        <v>171</v>
      </c>
      <c r="E552" s="128" t="s">
        <v>145</v>
      </c>
      <c r="F552" s="29">
        <v>26485</v>
      </c>
      <c r="G552" s="56" t="str">
        <f t="shared" ca="1" si="78"/>
        <v>V 45</v>
      </c>
      <c r="H552" s="28">
        <f t="shared" ca="1" si="79"/>
        <v>48</v>
      </c>
      <c r="J552" s="38" t="str">
        <f t="shared" si="73"/>
        <v>Paulo R. Freitas</v>
      </c>
      <c r="K552" s="39">
        <f t="shared" si="74"/>
        <v>1234</v>
      </c>
      <c r="L552" s="39">
        <f t="shared" si="75"/>
        <v>157792</v>
      </c>
      <c r="M552" s="40">
        <f t="shared" si="80"/>
        <v>26485</v>
      </c>
      <c r="N552" s="41" t="str">
        <f t="shared" ca="1" si="81"/>
        <v>V 45</v>
      </c>
      <c r="O552" s="41" t="str">
        <f t="shared" si="76"/>
        <v>M</v>
      </c>
      <c r="P552" s="60" t="str">
        <f t="shared" si="77"/>
        <v>CDES</v>
      </c>
      <c r="Q552" s="61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3">
      <c r="A553" s="28">
        <v>1252</v>
      </c>
      <c r="B553" s="28">
        <v>157971</v>
      </c>
      <c r="C553" s="129" t="s">
        <v>1157</v>
      </c>
      <c r="D553" s="128" t="s">
        <v>171</v>
      </c>
      <c r="E553" s="128" t="s">
        <v>145</v>
      </c>
      <c r="F553" s="29">
        <v>28224</v>
      </c>
      <c r="G553" s="56" t="str">
        <f t="shared" ca="1" si="78"/>
        <v>V 40</v>
      </c>
      <c r="H553" s="28">
        <f t="shared" ca="1" si="79"/>
        <v>44</v>
      </c>
      <c r="J553" s="38" t="str">
        <f t="shared" si="73"/>
        <v>Estevão Costa</v>
      </c>
      <c r="K553" s="39">
        <f t="shared" si="74"/>
        <v>1252</v>
      </c>
      <c r="L553" s="39">
        <f t="shared" si="75"/>
        <v>157971</v>
      </c>
      <c r="M553" s="40">
        <f t="shared" si="80"/>
        <v>28224</v>
      </c>
      <c r="N553" s="41" t="str">
        <f t="shared" ca="1" si="81"/>
        <v>V 40</v>
      </c>
      <c r="O553" s="41" t="str">
        <f t="shared" si="76"/>
        <v>M</v>
      </c>
      <c r="P553" s="60" t="str">
        <f t="shared" si="77"/>
        <v>CDES</v>
      </c>
      <c r="Q553" s="61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3">
      <c r="A554" s="28">
        <v>1251</v>
      </c>
      <c r="B554" s="28">
        <v>153756</v>
      </c>
      <c r="C554" s="129" t="s">
        <v>1077</v>
      </c>
      <c r="D554" s="128" t="s">
        <v>171</v>
      </c>
      <c r="E554" s="128" t="s">
        <v>145</v>
      </c>
      <c r="F554" s="29">
        <v>27858</v>
      </c>
      <c r="G554" s="56" t="str">
        <f t="shared" ca="1" si="78"/>
        <v>V 45</v>
      </c>
      <c r="H554" s="28">
        <f t="shared" ca="1" si="79"/>
        <v>45</v>
      </c>
      <c r="J554" s="38" t="str">
        <f t="shared" si="73"/>
        <v>Ricardo Alves</v>
      </c>
      <c r="K554" s="39">
        <f t="shared" si="74"/>
        <v>1251</v>
      </c>
      <c r="L554" s="39">
        <f t="shared" si="75"/>
        <v>153756</v>
      </c>
      <c r="M554" s="40">
        <f t="shared" si="80"/>
        <v>27858</v>
      </c>
      <c r="N554" s="41" t="str">
        <f t="shared" ca="1" si="81"/>
        <v>V 45</v>
      </c>
      <c r="O554" s="41" t="str">
        <f t="shared" si="76"/>
        <v>M</v>
      </c>
      <c r="P554" s="60" t="str">
        <f t="shared" si="77"/>
        <v>CDES</v>
      </c>
      <c r="Q554" s="61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3">
      <c r="A555" s="28">
        <v>115</v>
      </c>
      <c r="B555" s="28">
        <v>156448</v>
      </c>
      <c r="C555" s="129" t="s">
        <v>1076</v>
      </c>
      <c r="D555" s="128" t="s">
        <v>171</v>
      </c>
      <c r="E555" s="128" t="s">
        <v>146</v>
      </c>
      <c r="F555" s="29">
        <v>28849</v>
      </c>
      <c r="G555" s="56" t="str">
        <f t="shared" ca="1" si="78"/>
        <v>V 40</v>
      </c>
      <c r="H555" s="28">
        <f t="shared" ca="1" si="79"/>
        <v>42</v>
      </c>
      <c r="J555" s="38" t="str">
        <f t="shared" si="73"/>
        <v>Edite Silva</v>
      </c>
      <c r="K555" s="39">
        <f t="shared" si="74"/>
        <v>115</v>
      </c>
      <c r="L555" s="39">
        <f t="shared" si="75"/>
        <v>156448</v>
      </c>
      <c r="M555" s="40">
        <f t="shared" si="80"/>
        <v>28849</v>
      </c>
      <c r="N555" s="41" t="str">
        <f t="shared" ca="1" si="81"/>
        <v>V 40</v>
      </c>
      <c r="O555" s="41" t="str">
        <f t="shared" si="76"/>
        <v>F</v>
      </c>
      <c r="P555" s="60" t="str">
        <f t="shared" si="77"/>
        <v>CDES</v>
      </c>
      <c r="Q555" s="61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3">
      <c r="A556" s="28">
        <v>1250</v>
      </c>
      <c r="B556" s="28">
        <v>149110</v>
      </c>
      <c r="C556" s="129" t="s">
        <v>765</v>
      </c>
      <c r="D556" s="128" t="s">
        <v>171</v>
      </c>
      <c r="E556" s="128" t="s">
        <v>145</v>
      </c>
      <c r="F556" s="29">
        <v>28392</v>
      </c>
      <c r="G556" s="56" t="str">
        <f t="shared" ca="1" si="78"/>
        <v>V 40</v>
      </c>
      <c r="H556" s="28">
        <f t="shared" ca="1" si="79"/>
        <v>43</v>
      </c>
      <c r="J556" s="38" t="str">
        <f t="shared" si="73"/>
        <v>Mário dos Ramos</v>
      </c>
      <c r="K556" s="39">
        <f t="shared" si="74"/>
        <v>1250</v>
      </c>
      <c r="L556" s="39">
        <f t="shared" si="75"/>
        <v>149110</v>
      </c>
      <c r="M556" s="40">
        <f t="shared" si="80"/>
        <v>28392</v>
      </c>
      <c r="N556" s="41" t="str">
        <f t="shared" ca="1" si="81"/>
        <v>V 40</v>
      </c>
      <c r="O556" s="41" t="str">
        <f t="shared" si="76"/>
        <v>M</v>
      </c>
      <c r="P556" s="60" t="str">
        <f t="shared" si="77"/>
        <v>CDES</v>
      </c>
      <c r="Q556" s="61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3">
      <c r="A557" s="28">
        <v>1274</v>
      </c>
      <c r="B557" s="28">
        <v>158300</v>
      </c>
      <c r="C557" s="129" t="s">
        <v>1161</v>
      </c>
      <c r="D557" s="128" t="s">
        <v>171</v>
      </c>
      <c r="E557" s="128" t="s">
        <v>145</v>
      </c>
      <c r="F557" s="29">
        <v>33977</v>
      </c>
      <c r="G557" s="56" t="str">
        <f t="shared" ca="1" si="78"/>
        <v>Sénior</v>
      </c>
      <c r="H557" s="28">
        <f t="shared" ca="1" si="79"/>
        <v>28</v>
      </c>
      <c r="J557" s="38" t="str">
        <f t="shared" si="73"/>
        <v>Cláudio J. Gonçalves</v>
      </c>
      <c r="K557" s="39">
        <f t="shared" si="74"/>
        <v>1274</v>
      </c>
      <c r="L557" s="39">
        <f t="shared" si="75"/>
        <v>158300</v>
      </c>
      <c r="M557" s="40">
        <f t="shared" si="80"/>
        <v>33977</v>
      </c>
      <c r="N557" s="41" t="str">
        <f t="shared" ca="1" si="81"/>
        <v>Sénior</v>
      </c>
      <c r="O557" s="41" t="str">
        <f t="shared" si="76"/>
        <v>M</v>
      </c>
      <c r="P557" s="60" t="str">
        <f t="shared" si="77"/>
        <v>CDES</v>
      </c>
      <c r="Q557" s="61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3">
      <c r="A558" s="28">
        <v>1264</v>
      </c>
      <c r="B558" s="28">
        <v>141891</v>
      </c>
      <c r="C558" s="129" t="s">
        <v>536</v>
      </c>
      <c r="D558" s="128" t="s">
        <v>171</v>
      </c>
      <c r="E558" s="128" t="s">
        <v>145</v>
      </c>
      <c r="F558" s="29">
        <v>30502</v>
      </c>
      <c r="G558" s="56" t="str">
        <f t="shared" ca="1" si="78"/>
        <v>V 35</v>
      </c>
      <c r="H558" s="28">
        <f t="shared" ca="1" si="79"/>
        <v>37</v>
      </c>
      <c r="J558" s="38" t="str">
        <f t="shared" si="73"/>
        <v>Rui Luís Coelho</v>
      </c>
      <c r="K558" s="39">
        <f t="shared" si="74"/>
        <v>1264</v>
      </c>
      <c r="L558" s="39">
        <f t="shared" si="75"/>
        <v>141891</v>
      </c>
      <c r="M558" s="40">
        <f t="shared" si="80"/>
        <v>30502</v>
      </c>
      <c r="N558" s="41" t="str">
        <f t="shared" ca="1" si="81"/>
        <v>V 35</v>
      </c>
      <c r="O558" s="41" t="str">
        <f t="shared" si="76"/>
        <v>M</v>
      </c>
      <c r="P558" s="60" t="str">
        <f t="shared" si="77"/>
        <v>CDES</v>
      </c>
      <c r="Q558" s="61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3">
      <c r="A559" s="28">
        <v>1249</v>
      </c>
      <c r="B559" s="28">
        <v>156056</v>
      </c>
      <c r="C559" s="129" t="s">
        <v>1055</v>
      </c>
      <c r="D559" s="128" t="s">
        <v>171</v>
      </c>
      <c r="E559" s="128" t="s">
        <v>145</v>
      </c>
      <c r="F559" s="29">
        <v>28125</v>
      </c>
      <c r="G559" s="56" t="str">
        <f t="shared" ca="1" si="78"/>
        <v>V 40</v>
      </c>
      <c r="H559" s="28">
        <f t="shared" ca="1" si="79"/>
        <v>44</v>
      </c>
      <c r="J559" s="38" t="str">
        <f t="shared" si="73"/>
        <v>Toni Silva</v>
      </c>
      <c r="K559" s="39">
        <f t="shared" si="74"/>
        <v>1249</v>
      </c>
      <c r="L559" s="39">
        <f t="shared" si="75"/>
        <v>156056</v>
      </c>
      <c r="M559" s="40">
        <f t="shared" si="80"/>
        <v>28125</v>
      </c>
      <c r="N559" s="41" t="str">
        <f t="shared" ca="1" si="81"/>
        <v>V 40</v>
      </c>
      <c r="O559" s="41" t="str">
        <f t="shared" si="76"/>
        <v>M</v>
      </c>
      <c r="P559" s="60" t="str">
        <f t="shared" si="77"/>
        <v>CDES</v>
      </c>
      <c r="Q559" s="61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3">
      <c r="A560" s="28">
        <v>1248</v>
      </c>
      <c r="B560" s="28">
        <v>160471</v>
      </c>
      <c r="C560" s="129" t="s">
        <v>1268</v>
      </c>
      <c r="D560" s="128" t="s">
        <v>171</v>
      </c>
      <c r="E560" s="128" t="s">
        <v>145</v>
      </c>
      <c r="F560" s="29">
        <v>27980</v>
      </c>
      <c r="G560" s="56" t="str">
        <f t="shared" ca="1" si="78"/>
        <v>V 40</v>
      </c>
      <c r="H560" s="28">
        <f t="shared" ca="1" si="79"/>
        <v>44</v>
      </c>
      <c r="J560" s="38" t="str">
        <f t="shared" si="73"/>
        <v>Élvio Batista</v>
      </c>
      <c r="K560" s="39">
        <f t="shared" si="74"/>
        <v>1248</v>
      </c>
      <c r="L560" s="39">
        <f t="shared" si="75"/>
        <v>160471</v>
      </c>
      <c r="M560" s="40">
        <f t="shared" si="80"/>
        <v>27980</v>
      </c>
      <c r="N560" s="41" t="str">
        <f t="shared" ca="1" si="81"/>
        <v>V 40</v>
      </c>
      <c r="O560" s="41" t="str">
        <f t="shared" si="76"/>
        <v>M</v>
      </c>
      <c r="P560" s="60" t="str">
        <f t="shared" si="77"/>
        <v>CDES</v>
      </c>
      <c r="Q560" s="61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3">
      <c r="A561" s="28">
        <v>116</v>
      </c>
      <c r="B561" s="28">
        <v>129895</v>
      </c>
      <c r="C561" s="129" t="s">
        <v>309</v>
      </c>
      <c r="D561" s="128" t="s">
        <v>171</v>
      </c>
      <c r="E561" s="128" t="s">
        <v>146</v>
      </c>
      <c r="F561" s="29">
        <v>29188</v>
      </c>
      <c r="G561" s="56" t="str">
        <f t="shared" ca="1" si="78"/>
        <v>V 40</v>
      </c>
      <c r="H561" s="28">
        <f t="shared" ca="1" si="79"/>
        <v>41</v>
      </c>
      <c r="J561" s="38" t="str">
        <f t="shared" si="73"/>
        <v>Luísa Freitas</v>
      </c>
      <c r="K561" s="39">
        <f t="shared" si="74"/>
        <v>116</v>
      </c>
      <c r="L561" s="39">
        <f t="shared" si="75"/>
        <v>129895</v>
      </c>
      <c r="M561" s="40">
        <f t="shared" si="80"/>
        <v>29188</v>
      </c>
      <c r="N561" s="41" t="str">
        <f t="shared" ca="1" si="81"/>
        <v>V 40</v>
      </c>
      <c r="O561" s="41" t="str">
        <f t="shared" si="76"/>
        <v>F</v>
      </c>
      <c r="P561" s="60" t="str">
        <f t="shared" si="77"/>
        <v>CDES</v>
      </c>
      <c r="Q561" s="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3">
      <c r="A562" s="28">
        <v>1273</v>
      </c>
      <c r="B562" s="28">
        <v>146988</v>
      </c>
      <c r="C562" s="129" t="s">
        <v>1533</v>
      </c>
      <c r="D562" s="128" t="s">
        <v>171</v>
      </c>
      <c r="E562" s="128" t="s">
        <v>145</v>
      </c>
      <c r="F562" s="29">
        <v>31419</v>
      </c>
      <c r="G562" s="56" t="str">
        <f t="shared" ca="1" si="78"/>
        <v>V 35</v>
      </c>
      <c r="H562" s="28">
        <f t="shared" ca="1" si="79"/>
        <v>35</v>
      </c>
      <c r="J562" s="38" t="str">
        <f t="shared" si="73"/>
        <v>Duarte Dias</v>
      </c>
      <c r="K562" s="39">
        <f t="shared" si="74"/>
        <v>1273</v>
      </c>
      <c r="L562" s="39">
        <f t="shared" si="75"/>
        <v>146988</v>
      </c>
      <c r="M562" s="40">
        <f t="shared" si="80"/>
        <v>31419</v>
      </c>
      <c r="N562" s="41" t="str">
        <f t="shared" ca="1" si="81"/>
        <v>V 35</v>
      </c>
      <c r="O562" s="41" t="str">
        <f t="shared" si="76"/>
        <v>M</v>
      </c>
      <c r="P562" s="60" t="str">
        <f t="shared" si="77"/>
        <v>CDES</v>
      </c>
      <c r="Q562" s="61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3">
      <c r="A563" s="28">
        <v>109</v>
      </c>
      <c r="B563" s="28">
        <v>159330</v>
      </c>
      <c r="C563" s="129" t="s">
        <v>1152</v>
      </c>
      <c r="D563" s="128" t="s">
        <v>171</v>
      </c>
      <c r="E563" s="128" t="s">
        <v>146</v>
      </c>
      <c r="F563" s="29">
        <v>31928</v>
      </c>
      <c r="G563" s="56" t="str">
        <f t="shared" ca="1" si="78"/>
        <v>Sénior</v>
      </c>
      <c r="H563" s="28">
        <f t="shared" ca="1" si="79"/>
        <v>33</v>
      </c>
      <c r="J563" s="38" t="str">
        <f t="shared" si="73"/>
        <v>Rubina Freitas</v>
      </c>
      <c r="K563" s="39">
        <f t="shared" si="74"/>
        <v>109</v>
      </c>
      <c r="L563" s="39">
        <f t="shared" si="75"/>
        <v>159330</v>
      </c>
      <c r="M563" s="40">
        <f t="shared" si="80"/>
        <v>31928</v>
      </c>
      <c r="N563" s="41" t="str">
        <f t="shared" ca="1" si="81"/>
        <v>Sénior</v>
      </c>
      <c r="O563" s="41" t="str">
        <f t="shared" si="76"/>
        <v>F</v>
      </c>
      <c r="P563" s="60" t="str">
        <f t="shared" si="77"/>
        <v>CDES</v>
      </c>
      <c r="Q563" s="61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3">
      <c r="A564" s="28">
        <v>1272</v>
      </c>
      <c r="B564" s="28">
        <v>125740</v>
      </c>
      <c r="C564" s="129" t="s">
        <v>701</v>
      </c>
      <c r="D564" s="128" t="s">
        <v>148</v>
      </c>
      <c r="E564" s="128" t="s">
        <v>145</v>
      </c>
      <c r="F564" s="29">
        <v>31920</v>
      </c>
      <c r="G564" s="56" t="str">
        <f t="shared" ca="1" si="78"/>
        <v>Sénior</v>
      </c>
      <c r="H564" s="28">
        <f t="shared" ca="1" si="79"/>
        <v>33</v>
      </c>
      <c r="J564" s="38" t="str">
        <f t="shared" si="73"/>
        <v>António Pereira</v>
      </c>
      <c r="K564" s="39">
        <f t="shared" si="74"/>
        <v>1272</v>
      </c>
      <c r="L564" s="39">
        <f t="shared" si="75"/>
        <v>125740</v>
      </c>
      <c r="M564" s="40">
        <f t="shared" si="80"/>
        <v>31920</v>
      </c>
      <c r="N564" s="41" t="str">
        <f t="shared" ca="1" si="81"/>
        <v>Sénior</v>
      </c>
      <c r="O564" s="41" t="str">
        <f t="shared" si="76"/>
        <v>M</v>
      </c>
      <c r="P564" s="60" t="str">
        <f t="shared" si="77"/>
        <v>IND-M</v>
      </c>
      <c r="Q564" s="61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3">
      <c r="A565" s="28">
        <v>117</v>
      </c>
      <c r="B565" s="28">
        <v>152586</v>
      </c>
      <c r="C565" s="129" t="s">
        <v>837</v>
      </c>
      <c r="D565" s="128" t="s">
        <v>171</v>
      </c>
      <c r="E565" s="128" t="s">
        <v>146</v>
      </c>
      <c r="F565" s="29">
        <v>29478</v>
      </c>
      <c r="G565" s="56" t="str">
        <f t="shared" ca="1" si="78"/>
        <v>V 40</v>
      </c>
      <c r="H565" s="28">
        <f t="shared" ca="1" si="79"/>
        <v>40</v>
      </c>
      <c r="J565" s="38" t="str">
        <f t="shared" si="73"/>
        <v>Carla Pinto</v>
      </c>
      <c r="K565" s="39">
        <f t="shared" si="74"/>
        <v>117</v>
      </c>
      <c r="L565" s="39">
        <f t="shared" si="75"/>
        <v>152586</v>
      </c>
      <c r="M565" s="40">
        <f t="shared" si="80"/>
        <v>29478</v>
      </c>
      <c r="N565" s="41" t="str">
        <f t="shared" ca="1" si="81"/>
        <v>V 40</v>
      </c>
      <c r="O565" s="41" t="str">
        <f t="shared" si="76"/>
        <v>F</v>
      </c>
      <c r="P565" s="60" t="str">
        <f t="shared" si="77"/>
        <v>CDES</v>
      </c>
      <c r="Q565" s="61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3">
      <c r="A566" s="28">
        <v>110</v>
      </c>
      <c r="B566" s="28">
        <v>149776</v>
      </c>
      <c r="C566" s="129" t="s">
        <v>782</v>
      </c>
      <c r="D566" s="128" t="s">
        <v>171</v>
      </c>
      <c r="E566" s="128" t="s">
        <v>146</v>
      </c>
      <c r="F566" s="29">
        <v>32979</v>
      </c>
      <c r="G566" s="56" t="str">
        <f t="shared" ca="1" si="78"/>
        <v>Sénior</v>
      </c>
      <c r="H566" s="28">
        <f t="shared" ca="1" si="79"/>
        <v>31</v>
      </c>
      <c r="J566" s="38" t="str">
        <f t="shared" si="73"/>
        <v>Tânia Pita</v>
      </c>
      <c r="K566" s="39">
        <f t="shared" si="74"/>
        <v>110</v>
      </c>
      <c r="L566" s="39">
        <f t="shared" si="75"/>
        <v>149776</v>
      </c>
      <c r="M566" s="40">
        <f t="shared" si="80"/>
        <v>32979</v>
      </c>
      <c r="N566" s="41" t="str">
        <f t="shared" ca="1" si="81"/>
        <v>Sénior</v>
      </c>
      <c r="O566" s="41" t="str">
        <f t="shared" si="76"/>
        <v>F</v>
      </c>
      <c r="P566" s="60" t="str">
        <f t="shared" si="77"/>
        <v>CDES</v>
      </c>
      <c r="Q566" s="61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3">
      <c r="A567" s="28">
        <v>111</v>
      </c>
      <c r="B567" s="28">
        <v>146869</v>
      </c>
      <c r="C567" s="129" t="s">
        <v>733</v>
      </c>
      <c r="D567" s="128" t="s">
        <v>171</v>
      </c>
      <c r="E567" s="128" t="s">
        <v>146</v>
      </c>
      <c r="F567" s="29">
        <v>32063</v>
      </c>
      <c r="G567" s="56" t="str">
        <f t="shared" ca="1" si="78"/>
        <v>Sénior</v>
      </c>
      <c r="H567" s="28">
        <f t="shared" ca="1" si="79"/>
        <v>33</v>
      </c>
      <c r="J567" s="38" t="str">
        <f t="shared" si="73"/>
        <v>Lovisa Clevehorn</v>
      </c>
      <c r="K567" s="39">
        <f t="shared" si="74"/>
        <v>111</v>
      </c>
      <c r="L567" s="39">
        <f t="shared" si="75"/>
        <v>146869</v>
      </c>
      <c r="M567" s="40">
        <f t="shared" si="80"/>
        <v>32063</v>
      </c>
      <c r="N567" s="41" t="str">
        <f t="shared" ca="1" si="81"/>
        <v>Sénior</v>
      </c>
      <c r="O567" s="41" t="str">
        <f t="shared" si="76"/>
        <v>F</v>
      </c>
      <c r="P567" s="60" t="str">
        <f t="shared" si="77"/>
        <v>CDES</v>
      </c>
      <c r="Q567" s="61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3">
      <c r="A568" s="28">
        <v>1233</v>
      </c>
      <c r="B568" s="28">
        <v>136105</v>
      </c>
      <c r="C568" s="129" t="s">
        <v>955</v>
      </c>
      <c r="D568" s="128" t="s">
        <v>171</v>
      </c>
      <c r="E568" s="128" t="s">
        <v>145</v>
      </c>
      <c r="F568" s="29">
        <v>27655</v>
      </c>
      <c r="G568" s="56" t="str">
        <f t="shared" ca="1" si="78"/>
        <v>V 45</v>
      </c>
      <c r="H568" s="28">
        <f t="shared" ca="1" si="79"/>
        <v>45</v>
      </c>
      <c r="J568" s="38" t="str">
        <f t="shared" si="73"/>
        <v>Nelson Neves</v>
      </c>
      <c r="K568" s="39">
        <f t="shared" si="74"/>
        <v>1233</v>
      </c>
      <c r="L568" s="39">
        <f t="shared" si="75"/>
        <v>136105</v>
      </c>
      <c r="M568" s="40">
        <f t="shared" si="80"/>
        <v>27655</v>
      </c>
      <c r="N568" s="41" t="str">
        <f t="shared" ca="1" si="81"/>
        <v>V 45</v>
      </c>
      <c r="O568" s="41" t="str">
        <f t="shared" si="76"/>
        <v>M</v>
      </c>
      <c r="P568" s="60" t="str">
        <f t="shared" si="77"/>
        <v>CDES</v>
      </c>
      <c r="Q568" s="61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3">
      <c r="A569" s="28">
        <v>1263</v>
      </c>
      <c r="B569" s="28">
        <v>152190</v>
      </c>
      <c r="C569" s="129" t="s">
        <v>809</v>
      </c>
      <c r="D569" s="128" t="s">
        <v>171</v>
      </c>
      <c r="E569" s="128" t="s">
        <v>145</v>
      </c>
      <c r="F569" s="29">
        <v>30857</v>
      </c>
      <c r="G569" s="56" t="str">
        <f t="shared" ca="1" si="78"/>
        <v>V 35</v>
      </c>
      <c r="H569" s="28">
        <f t="shared" ca="1" si="79"/>
        <v>36</v>
      </c>
      <c r="J569" s="38" t="str">
        <f t="shared" si="73"/>
        <v>Gilmer Galeano</v>
      </c>
      <c r="K569" s="39">
        <f t="shared" si="74"/>
        <v>1263</v>
      </c>
      <c r="L569" s="39">
        <f t="shared" si="75"/>
        <v>152190</v>
      </c>
      <c r="M569" s="40">
        <f t="shared" si="80"/>
        <v>30857</v>
      </c>
      <c r="N569" s="41" t="str">
        <f t="shared" ca="1" si="81"/>
        <v>V 35</v>
      </c>
      <c r="O569" s="41" t="str">
        <f t="shared" si="76"/>
        <v>M</v>
      </c>
      <c r="P569" s="60" t="str">
        <f t="shared" si="77"/>
        <v>CDES</v>
      </c>
      <c r="Q569" s="61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3">
      <c r="A570" s="28">
        <v>1247</v>
      </c>
      <c r="B570" s="28">
        <v>141758</v>
      </c>
      <c r="C570" s="129" t="s">
        <v>518</v>
      </c>
      <c r="D570" s="128" t="s">
        <v>171</v>
      </c>
      <c r="E570" s="128" t="s">
        <v>145</v>
      </c>
      <c r="F570" s="29">
        <v>27760</v>
      </c>
      <c r="G570" s="56" t="str">
        <f t="shared" ca="1" si="78"/>
        <v>V 45</v>
      </c>
      <c r="H570" s="28">
        <f t="shared" ca="1" si="79"/>
        <v>45</v>
      </c>
      <c r="J570" s="38" t="str">
        <f t="shared" si="73"/>
        <v>Bruno Faria Abreu</v>
      </c>
      <c r="K570" s="39">
        <f t="shared" si="74"/>
        <v>1247</v>
      </c>
      <c r="L570" s="39">
        <f t="shared" si="75"/>
        <v>141758</v>
      </c>
      <c r="M570" s="40">
        <f t="shared" si="80"/>
        <v>27760</v>
      </c>
      <c r="N570" s="41" t="str">
        <f t="shared" ca="1" si="81"/>
        <v>V 45</v>
      </c>
      <c r="O570" s="41" t="str">
        <f t="shared" si="76"/>
        <v>M</v>
      </c>
      <c r="P570" s="60" t="str">
        <f t="shared" si="77"/>
        <v>CDES</v>
      </c>
      <c r="Q570" s="61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3">
      <c r="A571" s="28">
        <v>118</v>
      </c>
      <c r="B571" s="28">
        <v>152693</v>
      </c>
      <c r="C571" s="129" t="s">
        <v>807</v>
      </c>
      <c r="D571" s="128" t="s">
        <v>171</v>
      </c>
      <c r="E571" s="128" t="s">
        <v>146</v>
      </c>
      <c r="F571" s="29">
        <v>28811</v>
      </c>
      <c r="G571" s="56" t="str">
        <f t="shared" ca="1" si="78"/>
        <v>V 40</v>
      </c>
      <c r="H571" s="28">
        <f t="shared" ca="1" si="79"/>
        <v>42</v>
      </c>
      <c r="J571" s="38" t="str">
        <f t="shared" si="73"/>
        <v>Isabel Camacho</v>
      </c>
      <c r="K571" s="39">
        <f t="shared" si="74"/>
        <v>118</v>
      </c>
      <c r="L571" s="39">
        <f t="shared" si="75"/>
        <v>152693</v>
      </c>
      <c r="M571" s="40">
        <f t="shared" si="80"/>
        <v>28811</v>
      </c>
      <c r="N571" s="41" t="str">
        <f t="shared" ca="1" si="81"/>
        <v>V 40</v>
      </c>
      <c r="O571" s="41" t="str">
        <f t="shared" si="76"/>
        <v>F</v>
      </c>
      <c r="P571" s="60" t="str">
        <f t="shared" si="77"/>
        <v>CDES</v>
      </c>
      <c r="Q571" s="6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3">
      <c r="A572" s="28">
        <v>1262</v>
      </c>
      <c r="B572" s="28">
        <v>158074</v>
      </c>
      <c r="C572" s="129" t="s">
        <v>1160</v>
      </c>
      <c r="D572" s="128" t="s">
        <v>171</v>
      </c>
      <c r="E572" s="128" t="s">
        <v>145</v>
      </c>
      <c r="F572" s="29">
        <v>29607</v>
      </c>
      <c r="G572" s="56" t="str">
        <f t="shared" ca="1" si="78"/>
        <v>V 40</v>
      </c>
      <c r="H572" s="28">
        <f t="shared" ca="1" si="79"/>
        <v>40</v>
      </c>
      <c r="J572" s="38" t="str">
        <f t="shared" si="73"/>
        <v>Rui Raposo</v>
      </c>
      <c r="K572" s="39">
        <f t="shared" si="74"/>
        <v>1262</v>
      </c>
      <c r="L572" s="39">
        <f t="shared" si="75"/>
        <v>158074</v>
      </c>
      <c r="M572" s="40">
        <f t="shared" si="80"/>
        <v>29607</v>
      </c>
      <c r="N572" s="41" t="str">
        <f t="shared" ca="1" si="81"/>
        <v>V 40</v>
      </c>
      <c r="O572" s="41" t="str">
        <f t="shared" si="76"/>
        <v>M</v>
      </c>
      <c r="P572" s="60" t="str">
        <f t="shared" si="77"/>
        <v>CDES</v>
      </c>
      <c r="Q572" s="61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3">
      <c r="A573" s="28">
        <v>113</v>
      </c>
      <c r="B573" s="28">
        <v>141769</v>
      </c>
      <c r="C573" s="129" t="s">
        <v>517</v>
      </c>
      <c r="D573" s="128" t="s">
        <v>171</v>
      </c>
      <c r="E573" s="128" t="s">
        <v>146</v>
      </c>
      <c r="F573" s="29">
        <v>30715</v>
      </c>
      <c r="G573" s="56" t="str">
        <f t="shared" ca="1" si="78"/>
        <v>V 35</v>
      </c>
      <c r="H573" s="28">
        <f t="shared" ca="1" si="79"/>
        <v>37</v>
      </c>
      <c r="J573" s="38" t="str">
        <f t="shared" si="73"/>
        <v>Mónica Castanha</v>
      </c>
      <c r="K573" s="39">
        <f t="shared" si="74"/>
        <v>113</v>
      </c>
      <c r="L573" s="39">
        <f t="shared" si="75"/>
        <v>141769</v>
      </c>
      <c r="M573" s="40">
        <f t="shared" si="80"/>
        <v>30715</v>
      </c>
      <c r="N573" s="41" t="str">
        <f t="shared" ca="1" si="81"/>
        <v>V 35</v>
      </c>
      <c r="O573" s="41" t="str">
        <f t="shared" si="76"/>
        <v>F</v>
      </c>
      <c r="P573" s="60" t="str">
        <f t="shared" si="77"/>
        <v>CDES</v>
      </c>
      <c r="Q573" s="61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3">
      <c r="A574" s="28">
        <v>1246</v>
      </c>
      <c r="B574" s="28">
        <v>125505</v>
      </c>
      <c r="C574" s="129" t="s">
        <v>394</v>
      </c>
      <c r="D574" s="128" t="s">
        <v>171</v>
      </c>
      <c r="E574" s="128" t="s">
        <v>145</v>
      </c>
      <c r="F574" s="29">
        <v>28806</v>
      </c>
      <c r="G574" s="56" t="str">
        <f t="shared" ca="1" si="78"/>
        <v>V 40</v>
      </c>
      <c r="H574" s="28">
        <f t="shared" ca="1" si="79"/>
        <v>42</v>
      </c>
      <c r="J574" s="38" t="str">
        <f t="shared" si="73"/>
        <v>Bruno Teixeira</v>
      </c>
      <c r="K574" s="39">
        <f t="shared" si="74"/>
        <v>1246</v>
      </c>
      <c r="L574" s="39">
        <f t="shared" si="75"/>
        <v>125505</v>
      </c>
      <c r="M574" s="40">
        <f t="shared" si="80"/>
        <v>28806</v>
      </c>
      <c r="N574" s="41" t="str">
        <f t="shared" ca="1" si="81"/>
        <v>V 40</v>
      </c>
      <c r="O574" s="41" t="str">
        <f t="shared" si="76"/>
        <v>M</v>
      </c>
      <c r="P574" s="60" t="str">
        <f t="shared" si="77"/>
        <v>CDES</v>
      </c>
      <c r="Q574" s="61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3">
      <c r="A575" s="28">
        <v>1228</v>
      </c>
      <c r="B575" s="28">
        <v>139522</v>
      </c>
      <c r="C575" s="129" t="s">
        <v>457</v>
      </c>
      <c r="D575" s="128" t="s">
        <v>171</v>
      </c>
      <c r="E575" s="128" t="s">
        <v>145</v>
      </c>
      <c r="F575" s="29">
        <v>22998</v>
      </c>
      <c r="G575" s="56" t="str">
        <f t="shared" ca="1" si="78"/>
        <v>V 55</v>
      </c>
      <c r="H575" s="28">
        <f t="shared" ca="1" si="79"/>
        <v>58</v>
      </c>
      <c r="J575" s="38" t="str">
        <f t="shared" si="73"/>
        <v>João Manuel Sousa</v>
      </c>
      <c r="K575" s="39">
        <f t="shared" si="74"/>
        <v>1228</v>
      </c>
      <c r="L575" s="39">
        <f t="shared" si="75"/>
        <v>139522</v>
      </c>
      <c r="M575" s="40">
        <f t="shared" si="80"/>
        <v>22998</v>
      </c>
      <c r="N575" s="41" t="str">
        <f t="shared" ca="1" si="81"/>
        <v>V 55</v>
      </c>
      <c r="O575" s="41" t="str">
        <f t="shared" si="76"/>
        <v>M</v>
      </c>
      <c r="P575" s="60" t="str">
        <f t="shared" si="77"/>
        <v>CDES</v>
      </c>
      <c r="Q575" s="61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3">
      <c r="A576" s="28">
        <v>1245</v>
      </c>
      <c r="B576" s="28">
        <v>134874</v>
      </c>
      <c r="C576" s="129" t="s">
        <v>1154</v>
      </c>
      <c r="D576" s="128" t="s">
        <v>171</v>
      </c>
      <c r="E576" s="128" t="s">
        <v>145</v>
      </c>
      <c r="F576" s="29">
        <v>28763</v>
      </c>
      <c r="G576" s="56" t="str">
        <f t="shared" ca="1" si="78"/>
        <v>V 40</v>
      </c>
      <c r="H576" s="28">
        <f t="shared" ca="1" si="79"/>
        <v>42</v>
      </c>
      <c r="J576" s="38" t="str">
        <f t="shared" si="73"/>
        <v>Duarte D. Nunes</v>
      </c>
      <c r="K576" s="39">
        <f t="shared" si="74"/>
        <v>1245</v>
      </c>
      <c r="L576" s="39">
        <f t="shared" si="75"/>
        <v>134874</v>
      </c>
      <c r="M576" s="40">
        <f t="shared" si="80"/>
        <v>28763</v>
      </c>
      <c r="N576" s="41" t="str">
        <f t="shared" ca="1" si="81"/>
        <v>V 40</v>
      </c>
      <c r="O576" s="41" t="str">
        <f t="shared" si="76"/>
        <v>M</v>
      </c>
      <c r="P576" s="60" t="str">
        <f t="shared" si="77"/>
        <v>CDES</v>
      </c>
      <c r="Q576" s="61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3">
      <c r="A577" s="28">
        <v>124</v>
      </c>
      <c r="B577" s="28">
        <v>160448</v>
      </c>
      <c r="C577" s="129" t="s">
        <v>1312</v>
      </c>
      <c r="D577" s="128" t="s">
        <v>171</v>
      </c>
      <c r="E577" s="128" t="s">
        <v>146</v>
      </c>
      <c r="F577" s="29">
        <v>24849</v>
      </c>
      <c r="G577" s="56" t="str">
        <f t="shared" ca="1" si="78"/>
        <v>V 50</v>
      </c>
      <c r="H577" s="28">
        <f t="shared" ca="1" si="79"/>
        <v>53</v>
      </c>
      <c r="J577" s="38" t="str">
        <f t="shared" si="73"/>
        <v>Ana Rita Silva</v>
      </c>
      <c r="K577" s="39">
        <f t="shared" si="74"/>
        <v>124</v>
      </c>
      <c r="L577" s="39">
        <f t="shared" si="75"/>
        <v>160448</v>
      </c>
      <c r="M577" s="40">
        <f t="shared" si="80"/>
        <v>24849</v>
      </c>
      <c r="N577" s="41" t="str">
        <f t="shared" ca="1" si="81"/>
        <v>V 50</v>
      </c>
      <c r="O577" s="41" t="str">
        <f t="shared" si="76"/>
        <v>F</v>
      </c>
      <c r="P577" s="60" t="str">
        <f t="shared" si="77"/>
        <v>CDES</v>
      </c>
      <c r="Q577" s="61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3">
      <c r="A578" s="28">
        <v>1232</v>
      </c>
      <c r="B578" s="28">
        <v>159571</v>
      </c>
      <c r="C578" s="129" t="s">
        <v>1267</v>
      </c>
      <c r="D578" s="128" t="s">
        <v>171</v>
      </c>
      <c r="E578" s="128" t="s">
        <v>145</v>
      </c>
      <c r="F578" s="29">
        <v>26789</v>
      </c>
      <c r="G578" s="56" t="str">
        <f t="shared" ca="1" si="78"/>
        <v>V 45</v>
      </c>
      <c r="H578" s="28">
        <f t="shared" ca="1" si="79"/>
        <v>47</v>
      </c>
      <c r="J578" s="38" t="str">
        <f t="shared" ref="J578:J641" si="82">C578</f>
        <v>Luís Ramos</v>
      </c>
      <c r="K578" s="39">
        <f t="shared" ref="K578:K641" si="83">A578</f>
        <v>1232</v>
      </c>
      <c r="L578" s="39">
        <f t="shared" ref="L578:L641" si="84">B578</f>
        <v>159571</v>
      </c>
      <c r="M578" s="40">
        <f t="shared" si="80"/>
        <v>26789</v>
      </c>
      <c r="N578" s="41" t="str">
        <f t="shared" ca="1" si="81"/>
        <v>V 45</v>
      </c>
      <c r="O578" s="41" t="str">
        <f t="shared" ref="O578:O641" si="85">E578</f>
        <v>M</v>
      </c>
      <c r="P578" s="60" t="str">
        <f t="shared" ref="P578:P641" si="86">D578</f>
        <v>CDES</v>
      </c>
      <c r="Q578" s="61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3">
      <c r="A579" s="28">
        <v>121</v>
      </c>
      <c r="B579" s="28">
        <v>159687</v>
      </c>
      <c r="C579" s="129" t="s">
        <v>1266</v>
      </c>
      <c r="D579" s="128" t="s">
        <v>171</v>
      </c>
      <c r="E579" s="128" t="s">
        <v>146</v>
      </c>
      <c r="F579" s="29">
        <v>26357</v>
      </c>
      <c r="G579" s="5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B",IF(YEAR(TODAY())-YEAR(F579)&lt;14,"Infantil",IF(YEAR(TODAY())-YEAR(F579)&lt;16,"Iniciado",IF(YEAR(TODAY())-YEAR(F579)&lt;18,"Juvenil",IF(YEAR(TODAY())-YEAR(F579)&lt;20,"Júnior",IF(YEAR(TODAY())-YEAR(F579)&lt;23,"sub 23",IF(ROUNDDOWN(INT(TODAY()-F579)/365.25,0)&lt;35,"Sénior",IF(ROUNDDOWN(INT(TODAY()-F579)/365.25,0)&lt;40,"V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65",IF(ROUNDDOWN(INT(TODAY()-F579)/365.25,0)&lt;75,"V 70",IF(ROUNDDOWN(INT(TODAY()-F579)/365.25,0)&lt;80,"V 75",IF(ROUNDDOWN(INT(TODAY()-F579)/365.25,0)&lt;85,"V 80",IF(ROUNDDOWN(INT(TODAY()-F579)/365.25,0)&lt;90,"V 85",IF(ROUNDDOWN(INT(TODAY()-F579)/365.25,0)&lt;95,"V 90",IF(ROUNDDOWN(INT(TODAY()-F579)/365.25,0)&lt;100,"V 95",IF(ROUNDDOWN(INT(TODAY()-F579)/365.25,0)&gt;=100,"V 100",""))))))))))))))))))))))),"")</f>
        <v>V 45</v>
      </c>
      <c r="H579" s="28">
        <f t="shared" ref="H579:H642" ca="1" si="88">IFERROR(IF($A579&gt;0,ROUNDDOWN(INT(TODAY()-F579)/365.25,0),""),"")</f>
        <v>49</v>
      </c>
      <c r="J579" s="38" t="str">
        <f t="shared" si="82"/>
        <v>Carla A. Fernandes</v>
      </c>
      <c r="K579" s="39">
        <f t="shared" si="83"/>
        <v>121</v>
      </c>
      <c r="L579" s="39">
        <f t="shared" si="84"/>
        <v>159687</v>
      </c>
      <c r="M579" s="40">
        <f t="shared" ref="M579:M642" si="89">F579</f>
        <v>26357</v>
      </c>
      <c r="N579" s="41" t="str">
        <f t="shared" ref="N579:N642" ca="1" si="90">G579</f>
        <v>V 45</v>
      </c>
      <c r="O579" s="41" t="str">
        <f t="shared" si="85"/>
        <v>F</v>
      </c>
      <c r="P579" s="60" t="str">
        <f t="shared" si="86"/>
        <v>CDES</v>
      </c>
      <c r="Q579" s="61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3">
      <c r="A580" s="28">
        <v>1244</v>
      </c>
      <c r="B580" s="28">
        <v>136082</v>
      </c>
      <c r="C580" s="129" t="s">
        <v>426</v>
      </c>
      <c r="D580" s="128" t="s">
        <v>171</v>
      </c>
      <c r="E580" s="128" t="s">
        <v>145</v>
      </c>
      <c r="F580" s="29">
        <v>29488</v>
      </c>
      <c r="G580" s="56" t="str">
        <f t="shared" ca="1" si="87"/>
        <v>V 40</v>
      </c>
      <c r="H580" s="28">
        <f t="shared" ca="1" si="88"/>
        <v>40</v>
      </c>
      <c r="J580" s="38" t="str">
        <f t="shared" si="82"/>
        <v>Márcio Coelho</v>
      </c>
      <c r="K580" s="39">
        <f t="shared" si="83"/>
        <v>1244</v>
      </c>
      <c r="L580" s="39">
        <f t="shared" si="84"/>
        <v>136082</v>
      </c>
      <c r="M580" s="40">
        <f t="shared" si="89"/>
        <v>29488</v>
      </c>
      <c r="N580" s="41" t="str">
        <f t="shared" ca="1" si="90"/>
        <v>V 40</v>
      </c>
      <c r="O580" s="41" t="str">
        <f t="shared" si="85"/>
        <v>M</v>
      </c>
      <c r="P580" s="60" t="str">
        <f t="shared" si="86"/>
        <v>CDES</v>
      </c>
      <c r="Q580" s="61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3">
      <c r="A581" s="28">
        <v>119</v>
      </c>
      <c r="B581" s="28">
        <v>141427</v>
      </c>
      <c r="C581" s="129" t="s">
        <v>515</v>
      </c>
      <c r="D581" s="128" t="s">
        <v>171</v>
      </c>
      <c r="E581" s="128" t="s">
        <v>146</v>
      </c>
      <c r="F581" s="29">
        <v>29453</v>
      </c>
      <c r="G581" s="56" t="str">
        <f t="shared" ca="1" si="87"/>
        <v>V 40</v>
      </c>
      <c r="H581" s="28">
        <f t="shared" ca="1" si="88"/>
        <v>40</v>
      </c>
      <c r="J581" s="38" t="str">
        <f t="shared" si="82"/>
        <v>Rute Camacho</v>
      </c>
      <c r="K581" s="39">
        <f t="shared" si="83"/>
        <v>119</v>
      </c>
      <c r="L581" s="39">
        <f t="shared" si="84"/>
        <v>141427</v>
      </c>
      <c r="M581" s="40">
        <f t="shared" si="89"/>
        <v>29453</v>
      </c>
      <c r="N581" s="41" t="str">
        <f t="shared" ca="1" si="90"/>
        <v>V 40</v>
      </c>
      <c r="O581" s="41" t="str">
        <f t="shared" si="85"/>
        <v>F</v>
      </c>
      <c r="P581" s="60" t="str">
        <f t="shared" si="86"/>
        <v>CDES</v>
      </c>
      <c r="Q581" s="6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3">
      <c r="A582" s="28">
        <v>1271</v>
      </c>
      <c r="B582" s="28">
        <v>146526</v>
      </c>
      <c r="C582" s="129" t="s">
        <v>579</v>
      </c>
      <c r="D582" s="128" t="s">
        <v>171</v>
      </c>
      <c r="E582" s="128" t="s">
        <v>145</v>
      </c>
      <c r="F582" s="29">
        <v>34368</v>
      </c>
      <c r="G582" s="56" t="str">
        <f t="shared" ca="1" si="87"/>
        <v>Sénior</v>
      </c>
      <c r="H582" s="28">
        <f t="shared" ca="1" si="88"/>
        <v>27</v>
      </c>
      <c r="J582" s="38" t="str">
        <f t="shared" si="82"/>
        <v>Ricardo Moreira</v>
      </c>
      <c r="K582" s="39">
        <f t="shared" si="83"/>
        <v>1271</v>
      </c>
      <c r="L582" s="39">
        <f t="shared" si="84"/>
        <v>146526</v>
      </c>
      <c r="M582" s="40">
        <f t="shared" si="89"/>
        <v>34368</v>
      </c>
      <c r="N582" s="41" t="str">
        <f t="shared" ca="1" si="90"/>
        <v>Sénior</v>
      </c>
      <c r="O582" s="41" t="str">
        <f t="shared" si="85"/>
        <v>M</v>
      </c>
      <c r="P582" s="60" t="str">
        <f t="shared" si="86"/>
        <v>CDES</v>
      </c>
      <c r="Q582" s="61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3">
      <c r="A583" s="28">
        <v>1227</v>
      </c>
      <c r="B583" s="28">
        <v>125539</v>
      </c>
      <c r="C583" s="129" t="s">
        <v>679</v>
      </c>
      <c r="D583" s="128" t="s">
        <v>171</v>
      </c>
      <c r="E583" s="128" t="s">
        <v>145</v>
      </c>
      <c r="F583" s="29">
        <v>23312</v>
      </c>
      <c r="G583" s="56" t="str">
        <f t="shared" ca="1" si="87"/>
        <v>V 55</v>
      </c>
      <c r="H583" s="28">
        <f t="shared" ca="1" si="88"/>
        <v>57</v>
      </c>
      <c r="J583" s="38" t="str">
        <f t="shared" si="82"/>
        <v>António Oliveira</v>
      </c>
      <c r="K583" s="39">
        <f t="shared" si="83"/>
        <v>1227</v>
      </c>
      <c r="L583" s="39">
        <f t="shared" si="84"/>
        <v>125539</v>
      </c>
      <c r="M583" s="40">
        <f t="shared" si="89"/>
        <v>23312</v>
      </c>
      <c r="N583" s="41" t="str">
        <f t="shared" ca="1" si="90"/>
        <v>V 55</v>
      </c>
      <c r="O583" s="41" t="str">
        <f t="shared" si="85"/>
        <v>M</v>
      </c>
      <c r="P583" s="60" t="str">
        <f t="shared" si="86"/>
        <v>CDES</v>
      </c>
      <c r="Q583" s="61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3">
      <c r="A584" s="28">
        <v>1261</v>
      </c>
      <c r="B584" s="28">
        <v>158053</v>
      </c>
      <c r="C584" s="129" t="s">
        <v>1159</v>
      </c>
      <c r="D584" s="128" t="s">
        <v>171</v>
      </c>
      <c r="E584" s="128" t="s">
        <v>145</v>
      </c>
      <c r="F584" s="29">
        <v>30113</v>
      </c>
      <c r="G584" s="56" t="str">
        <f t="shared" ca="1" si="87"/>
        <v>V 35</v>
      </c>
      <c r="H584" s="28">
        <f t="shared" ca="1" si="88"/>
        <v>38</v>
      </c>
      <c r="J584" s="38" t="str">
        <f t="shared" si="82"/>
        <v>Valter Serrão</v>
      </c>
      <c r="K584" s="39">
        <f t="shared" si="83"/>
        <v>1261</v>
      </c>
      <c r="L584" s="39">
        <f t="shared" si="84"/>
        <v>158053</v>
      </c>
      <c r="M584" s="40">
        <f t="shared" si="89"/>
        <v>30113</v>
      </c>
      <c r="N584" s="41" t="str">
        <f t="shared" ca="1" si="90"/>
        <v>V 35</v>
      </c>
      <c r="O584" s="41" t="str">
        <f t="shared" si="85"/>
        <v>M</v>
      </c>
      <c r="P584" s="60" t="str">
        <f t="shared" si="86"/>
        <v>CDES</v>
      </c>
      <c r="Q584" s="61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3">
      <c r="A585" s="28">
        <v>1243</v>
      </c>
      <c r="B585" s="28">
        <v>162972</v>
      </c>
      <c r="C585" s="129" t="s">
        <v>1534</v>
      </c>
      <c r="D585" s="128" t="s">
        <v>171</v>
      </c>
      <c r="E585" s="128" t="s">
        <v>145</v>
      </c>
      <c r="F585" s="29">
        <v>28844</v>
      </c>
      <c r="G585" s="56" t="str">
        <f t="shared" ca="1" si="87"/>
        <v>V 40</v>
      </c>
      <c r="H585" s="28">
        <f t="shared" ca="1" si="88"/>
        <v>42</v>
      </c>
      <c r="J585" s="38" t="str">
        <f t="shared" si="82"/>
        <v>José Luís</v>
      </c>
      <c r="K585" s="39">
        <f t="shared" si="83"/>
        <v>1243</v>
      </c>
      <c r="L585" s="39">
        <f t="shared" si="84"/>
        <v>162972</v>
      </c>
      <c r="M585" s="40">
        <f t="shared" si="89"/>
        <v>28844</v>
      </c>
      <c r="N585" s="41" t="str">
        <f t="shared" ca="1" si="90"/>
        <v>V 40</v>
      </c>
      <c r="O585" s="41" t="str">
        <f t="shared" si="85"/>
        <v>M</v>
      </c>
      <c r="P585" s="60" t="str">
        <f t="shared" si="86"/>
        <v>CDES</v>
      </c>
      <c r="Q585" s="61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3">
      <c r="A586" s="28">
        <v>1242</v>
      </c>
      <c r="B586" s="28">
        <v>162946</v>
      </c>
      <c r="C586" s="129" t="s">
        <v>1535</v>
      </c>
      <c r="D586" s="128" t="s">
        <v>171</v>
      </c>
      <c r="E586" s="128" t="s">
        <v>145</v>
      </c>
      <c r="F586" s="29">
        <v>28751</v>
      </c>
      <c r="G586" s="56" t="str">
        <f t="shared" ca="1" si="87"/>
        <v>V 40</v>
      </c>
      <c r="H586" s="28">
        <f t="shared" ca="1" si="88"/>
        <v>42</v>
      </c>
      <c r="J586" s="38" t="str">
        <f t="shared" si="82"/>
        <v>Bruno M. Gouveia</v>
      </c>
      <c r="K586" s="39">
        <f t="shared" si="83"/>
        <v>1242</v>
      </c>
      <c r="L586" s="39">
        <f t="shared" si="84"/>
        <v>162946</v>
      </c>
      <c r="M586" s="40">
        <f t="shared" si="89"/>
        <v>28751</v>
      </c>
      <c r="N586" s="41" t="str">
        <f t="shared" ca="1" si="90"/>
        <v>V 40</v>
      </c>
      <c r="O586" s="41" t="str">
        <f t="shared" si="85"/>
        <v>M</v>
      </c>
      <c r="P586" s="60" t="str">
        <f t="shared" si="86"/>
        <v>CDES</v>
      </c>
      <c r="Q586" s="61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3">
      <c r="A587" s="28">
        <v>122</v>
      </c>
      <c r="B587" s="28">
        <v>134926</v>
      </c>
      <c r="C587" s="129" t="s">
        <v>1059</v>
      </c>
      <c r="D587" s="128" t="s">
        <v>171</v>
      </c>
      <c r="E587" s="128" t="s">
        <v>146</v>
      </c>
      <c r="F587" s="29">
        <v>26299</v>
      </c>
      <c r="G587" s="56" t="str">
        <f t="shared" ca="1" si="87"/>
        <v>V 45</v>
      </c>
      <c r="H587" s="28">
        <f t="shared" ca="1" si="88"/>
        <v>49</v>
      </c>
      <c r="J587" s="38" t="str">
        <f t="shared" si="82"/>
        <v>Maria José Andrade</v>
      </c>
      <c r="K587" s="39">
        <f t="shared" si="83"/>
        <v>122</v>
      </c>
      <c r="L587" s="39">
        <f t="shared" si="84"/>
        <v>134926</v>
      </c>
      <c r="M587" s="40">
        <f t="shared" si="89"/>
        <v>26299</v>
      </c>
      <c r="N587" s="41" t="str">
        <f t="shared" ca="1" si="90"/>
        <v>V 45</v>
      </c>
      <c r="O587" s="41" t="str">
        <f t="shared" si="85"/>
        <v>F</v>
      </c>
      <c r="P587" s="60" t="str">
        <f t="shared" si="86"/>
        <v>CDES</v>
      </c>
      <c r="Q587" s="61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3">
      <c r="A588" s="28">
        <v>1226</v>
      </c>
      <c r="B588" s="28">
        <v>146333</v>
      </c>
      <c r="C588" s="129" t="s">
        <v>574</v>
      </c>
      <c r="D588" s="128" t="s">
        <v>171</v>
      </c>
      <c r="E588" s="128" t="s">
        <v>145</v>
      </c>
      <c r="F588" s="29">
        <v>23625</v>
      </c>
      <c r="G588" s="56" t="str">
        <f t="shared" ca="1" si="87"/>
        <v>V 55</v>
      </c>
      <c r="H588" s="28">
        <f t="shared" ca="1" si="88"/>
        <v>56</v>
      </c>
      <c r="J588" s="38" t="str">
        <f t="shared" si="82"/>
        <v>João E. Andrade</v>
      </c>
      <c r="K588" s="39">
        <f t="shared" si="83"/>
        <v>1226</v>
      </c>
      <c r="L588" s="39">
        <f t="shared" si="84"/>
        <v>146333</v>
      </c>
      <c r="M588" s="40">
        <f t="shared" si="89"/>
        <v>23625</v>
      </c>
      <c r="N588" s="41" t="str">
        <f t="shared" ca="1" si="90"/>
        <v>V 55</v>
      </c>
      <c r="O588" s="41" t="str">
        <f t="shared" si="85"/>
        <v>M</v>
      </c>
      <c r="P588" s="60" t="str">
        <f t="shared" si="86"/>
        <v>CDES</v>
      </c>
      <c r="Q588" s="61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3">
      <c r="A589" s="28">
        <v>1224</v>
      </c>
      <c r="B589" s="28">
        <v>131875</v>
      </c>
      <c r="C589" s="129" t="s">
        <v>231</v>
      </c>
      <c r="D589" s="128" t="s">
        <v>171</v>
      </c>
      <c r="E589" s="128" t="s">
        <v>145</v>
      </c>
      <c r="F589" s="29">
        <v>21501</v>
      </c>
      <c r="G589" s="56" t="str">
        <f t="shared" ca="1" si="87"/>
        <v>V 60</v>
      </c>
      <c r="H589" s="28">
        <f t="shared" ca="1" si="88"/>
        <v>62</v>
      </c>
      <c r="J589" s="38" t="str">
        <f t="shared" si="82"/>
        <v>António Rosa</v>
      </c>
      <c r="K589" s="39">
        <f t="shared" si="83"/>
        <v>1224</v>
      </c>
      <c r="L589" s="39">
        <f t="shared" si="84"/>
        <v>131875</v>
      </c>
      <c r="M589" s="40">
        <f t="shared" si="89"/>
        <v>21501</v>
      </c>
      <c r="N589" s="41" t="str">
        <f t="shared" ca="1" si="90"/>
        <v>V 60</v>
      </c>
      <c r="O589" s="41" t="str">
        <f t="shared" si="85"/>
        <v>M</v>
      </c>
      <c r="P589" s="60" t="str">
        <f t="shared" si="86"/>
        <v>CDES</v>
      </c>
      <c r="Q589" s="61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3">
      <c r="A590" s="28">
        <v>120</v>
      </c>
      <c r="B590" s="28">
        <v>141634</v>
      </c>
      <c r="C590" s="129" t="s">
        <v>516</v>
      </c>
      <c r="D590" s="128" t="s">
        <v>171</v>
      </c>
      <c r="E590" s="128" t="s">
        <v>146</v>
      </c>
      <c r="F590" s="29">
        <v>27804</v>
      </c>
      <c r="G590" s="56" t="str">
        <f t="shared" ca="1" si="87"/>
        <v>V 45</v>
      </c>
      <c r="H590" s="28">
        <f t="shared" ca="1" si="88"/>
        <v>45</v>
      </c>
      <c r="J590" s="38" t="str">
        <f t="shared" si="82"/>
        <v>Carla Caires</v>
      </c>
      <c r="K590" s="39">
        <f t="shared" si="83"/>
        <v>120</v>
      </c>
      <c r="L590" s="39">
        <f t="shared" si="84"/>
        <v>141634</v>
      </c>
      <c r="M590" s="40">
        <f t="shared" si="89"/>
        <v>27804</v>
      </c>
      <c r="N590" s="41" t="str">
        <f t="shared" ca="1" si="90"/>
        <v>V 45</v>
      </c>
      <c r="O590" s="41" t="str">
        <f t="shared" si="85"/>
        <v>F</v>
      </c>
      <c r="P590" s="60" t="str">
        <f t="shared" si="86"/>
        <v>CDES</v>
      </c>
      <c r="Q590" s="61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3">
      <c r="A591" s="28">
        <v>2067</v>
      </c>
      <c r="B591" s="28">
        <v>161188</v>
      </c>
      <c r="C591" s="129" t="s">
        <v>1358</v>
      </c>
      <c r="D591" s="128" t="s">
        <v>171</v>
      </c>
      <c r="E591" s="128" t="s">
        <v>146</v>
      </c>
      <c r="F591" s="29">
        <v>41233</v>
      </c>
      <c r="G591" s="56" t="str">
        <f t="shared" ca="1" si="87"/>
        <v>Benjamim A</v>
      </c>
      <c r="H591" s="28">
        <f t="shared" ca="1" si="88"/>
        <v>8</v>
      </c>
      <c r="J591" s="38" t="str">
        <f t="shared" si="82"/>
        <v>Ana Costa</v>
      </c>
      <c r="K591" s="39">
        <f t="shared" si="83"/>
        <v>2067</v>
      </c>
      <c r="L591" s="39">
        <f t="shared" si="84"/>
        <v>161188</v>
      </c>
      <c r="M591" s="40">
        <f t="shared" si="89"/>
        <v>41233</v>
      </c>
      <c r="N591" s="41" t="str">
        <f t="shared" ca="1" si="90"/>
        <v>Benjamim A</v>
      </c>
      <c r="O591" s="41" t="str">
        <f t="shared" si="85"/>
        <v>F</v>
      </c>
      <c r="P591" s="60" t="str">
        <f t="shared" si="86"/>
        <v>CDES</v>
      </c>
      <c r="Q591" s="6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3">
      <c r="A592" s="28">
        <v>1260</v>
      </c>
      <c r="B592" s="28">
        <v>135165</v>
      </c>
      <c r="C592" s="129" t="s">
        <v>694</v>
      </c>
      <c r="D592" s="128" t="s">
        <v>171</v>
      </c>
      <c r="E592" s="128" t="s">
        <v>145</v>
      </c>
      <c r="F592" s="29">
        <v>30230</v>
      </c>
      <c r="G592" s="56" t="str">
        <f t="shared" ca="1" si="87"/>
        <v>V 35</v>
      </c>
      <c r="H592" s="28">
        <f t="shared" ca="1" si="88"/>
        <v>38</v>
      </c>
      <c r="J592" s="38" t="str">
        <f t="shared" si="82"/>
        <v>Hugo Pita</v>
      </c>
      <c r="K592" s="39">
        <f t="shared" si="83"/>
        <v>1260</v>
      </c>
      <c r="L592" s="39">
        <f t="shared" si="84"/>
        <v>135165</v>
      </c>
      <c r="M592" s="40">
        <f t="shared" si="89"/>
        <v>30230</v>
      </c>
      <c r="N592" s="41" t="str">
        <f t="shared" ca="1" si="90"/>
        <v>V 35</v>
      </c>
      <c r="O592" s="41" t="str">
        <f t="shared" si="85"/>
        <v>M</v>
      </c>
      <c r="P592" s="60" t="str">
        <f t="shared" si="86"/>
        <v>CDES</v>
      </c>
      <c r="Q592" s="61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3">
      <c r="A593" s="28">
        <v>2239</v>
      </c>
      <c r="B593" s="28">
        <v>156961</v>
      </c>
      <c r="C593" s="129" t="s">
        <v>1536</v>
      </c>
      <c r="D593" s="128" t="s">
        <v>171</v>
      </c>
      <c r="E593" s="128" t="s">
        <v>145</v>
      </c>
      <c r="F593" s="29">
        <v>40704</v>
      </c>
      <c r="G593" s="56" t="str">
        <f t="shared" ca="1" si="87"/>
        <v>Benjamim B</v>
      </c>
      <c r="H593" s="28">
        <f t="shared" ca="1" si="88"/>
        <v>9</v>
      </c>
      <c r="J593" s="38" t="str">
        <f t="shared" si="82"/>
        <v>Guilherme R. Pita</v>
      </c>
      <c r="K593" s="39">
        <f t="shared" si="83"/>
        <v>2239</v>
      </c>
      <c r="L593" s="39">
        <f t="shared" si="84"/>
        <v>156961</v>
      </c>
      <c r="M593" s="40">
        <f t="shared" si="89"/>
        <v>40704</v>
      </c>
      <c r="N593" s="41" t="str">
        <f t="shared" ca="1" si="90"/>
        <v>Benjamim B</v>
      </c>
      <c r="O593" s="41" t="str">
        <f t="shared" si="85"/>
        <v>M</v>
      </c>
      <c r="P593" s="60" t="str">
        <f t="shared" si="86"/>
        <v>CDES</v>
      </c>
      <c r="Q593" s="61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3">
      <c r="A594" s="28">
        <v>112</v>
      </c>
      <c r="B594" s="28">
        <v>138993</v>
      </c>
      <c r="C594" s="129" t="s">
        <v>448</v>
      </c>
      <c r="D594" s="128" t="s">
        <v>171</v>
      </c>
      <c r="E594" s="128" t="s">
        <v>146</v>
      </c>
      <c r="F594" s="29">
        <v>34213</v>
      </c>
      <c r="G594" s="56" t="str">
        <f t="shared" ca="1" si="87"/>
        <v>Sénior</v>
      </c>
      <c r="H594" s="28">
        <f t="shared" ca="1" si="88"/>
        <v>27</v>
      </c>
      <c r="J594" s="38" t="str">
        <f t="shared" si="82"/>
        <v>Jessie Serrão</v>
      </c>
      <c r="K594" s="39">
        <f t="shared" si="83"/>
        <v>112</v>
      </c>
      <c r="L594" s="39">
        <f t="shared" si="84"/>
        <v>138993</v>
      </c>
      <c r="M594" s="40">
        <f t="shared" si="89"/>
        <v>34213</v>
      </c>
      <c r="N594" s="41" t="str">
        <f t="shared" ca="1" si="90"/>
        <v>Sénior</v>
      </c>
      <c r="O594" s="41" t="str">
        <f t="shared" si="85"/>
        <v>F</v>
      </c>
      <c r="P594" s="60" t="str">
        <f t="shared" si="86"/>
        <v>CDES</v>
      </c>
      <c r="Q594" s="61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3">
      <c r="A595" s="28">
        <v>1241</v>
      </c>
      <c r="B595" s="28">
        <v>136283</v>
      </c>
      <c r="C595" s="129" t="s">
        <v>419</v>
      </c>
      <c r="D595" s="128" t="s">
        <v>171</v>
      </c>
      <c r="E595" s="128" t="s">
        <v>145</v>
      </c>
      <c r="F595" s="29">
        <v>29225</v>
      </c>
      <c r="G595" s="56" t="str">
        <f t="shared" ca="1" si="87"/>
        <v>V 40</v>
      </c>
      <c r="H595" s="28">
        <f t="shared" ca="1" si="88"/>
        <v>41</v>
      </c>
      <c r="J595" s="38" t="str">
        <f t="shared" si="82"/>
        <v>Miguel Ferreira</v>
      </c>
      <c r="K595" s="39">
        <f t="shared" si="83"/>
        <v>1241</v>
      </c>
      <c r="L595" s="39">
        <f t="shared" si="84"/>
        <v>136283</v>
      </c>
      <c r="M595" s="40">
        <f t="shared" si="89"/>
        <v>29225</v>
      </c>
      <c r="N595" s="41" t="str">
        <f t="shared" ca="1" si="90"/>
        <v>V 40</v>
      </c>
      <c r="O595" s="41" t="str">
        <f t="shared" si="85"/>
        <v>M</v>
      </c>
      <c r="P595" s="60" t="str">
        <f t="shared" si="86"/>
        <v>CDES</v>
      </c>
      <c r="Q595" s="61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3">
      <c r="A596" s="28">
        <v>114</v>
      </c>
      <c r="B596" s="28">
        <v>158177</v>
      </c>
      <c r="C596" s="129" t="s">
        <v>1150</v>
      </c>
      <c r="D596" s="128" t="s">
        <v>171</v>
      </c>
      <c r="E596" s="128" t="s">
        <v>146</v>
      </c>
      <c r="F596" s="29">
        <v>31179</v>
      </c>
      <c r="G596" s="56" t="str">
        <f t="shared" ca="1" si="87"/>
        <v>V 35</v>
      </c>
      <c r="H596" s="28">
        <f t="shared" ca="1" si="88"/>
        <v>35</v>
      </c>
      <c r="J596" s="38" t="str">
        <f t="shared" si="82"/>
        <v>Joana Dória</v>
      </c>
      <c r="K596" s="39">
        <f t="shared" si="83"/>
        <v>114</v>
      </c>
      <c r="L596" s="39">
        <f t="shared" si="84"/>
        <v>158177</v>
      </c>
      <c r="M596" s="40">
        <f t="shared" si="89"/>
        <v>31179</v>
      </c>
      <c r="N596" s="41" t="str">
        <f t="shared" ca="1" si="90"/>
        <v>V 35</v>
      </c>
      <c r="O596" s="41" t="str">
        <f t="shared" si="85"/>
        <v>F</v>
      </c>
      <c r="P596" s="60" t="str">
        <f t="shared" si="86"/>
        <v>CDES</v>
      </c>
      <c r="Q596" s="61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3">
      <c r="A597" s="28">
        <v>1259</v>
      </c>
      <c r="B597" s="28">
        <v>158057</v>
      </c>
      <c r="C597" s="129" t="s">
        <v>1155</v>
      </c>
      <c r="D597" s="128" t="s">
        <v>171</v>
      </c>
      <c r="E597" s="128" t="s">
        <v>145</v>
      </c>
      <c r="F597" s="29">
        <v>31096</v>
      </c>
      <c r="G597" s="56" t="str">
        <f t="shared" ca="1" si="87"/>
        <v>V 35</v>
      </c>
      <c r="H597" s="28">
        <f t="shared" ca="1" si="88"/>
        <v>36</v>
      </c>
      <c r="J597" s="38" t="str">
        <f t="shared" si="82"/>
        <v>José M. Pereira</v>
      </c>
      <c r="K597" s="39">
        <f t="shared" si="83"/>
        <v>1259</v>
      </c>
      <c r="L597" s="39">
        <f t="shared" si="84"/>
        <v>158057</v>
      </c>
      <c r="M597" s="40">
        <f t="shared" si="89"/>
        <v>31096</v>
      </c>
      <c r="N597" s="41" t="str">
        <f t="shared" ca="1" si="90"/>
        <v>V 35</v>
      </c>
      <c r="O597" s="41" t="str">
        <f t="shared" si="85"/>
        <v>M</v>
      </c>
      <c r="P597" s="60" t="str">
        <f t="shared" si="86"/>
        <v>CDES</v>
      </c>
      <c r="Q597" s="61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3">
      <c r="A598" s="28">
        <v>1230</v>
      </c>
      <c r="B598" s="28">
        <v>146534</v>
      </c>
      <c r="C598" s="129" t="s">
        <v>1164</v>
      </c>
      <c r="D598" s="128" t="s">
        <v>171</v>
      </c>
      <c r="E598" s="128" t="s">
        <v>145</v>
      </c>
      <c r="F598" s="29">
        <v>25355</v>
      </c>
      <c r="G598" s="56" t="str">
        <f t="shared" ca="1" si="87"/>
        <v>V 50</v>
      </c>
      <c r="H598" s="28">
        <f t="shared" ca="1" si="88"/>
        <v>51</v>
      </c>
      <c r="J598" s="38" t="str">
        <f t="shared" si="82"/>
        <v>João Garrido</v>
      </c>
      <c r="K598" s="39">
        <f t="shared" si="83"/>
        <v>1230</v>
      </c>
      <c r="L598" s="39">
        <f t="shared" si="84"/>
        <v>146534</v>
      </c>
      <c r="M598" s="40">
        <f t="shared" si="89"/>
        <v>25355</v>
      </c>
      <c r="N598" s="41" t="str">
        <f t="shared" ca="1" si="90"/>
        <v>V 50</v>
      </c>
      <c r="O598" s="41" t="str">
        <f t="shared" si="85"/>
        <v>M</v>
      </c>
      <c r="P598" s="60" t="str">
        <f t="shared" si="86"/>
        <v>CDES</v>
      </c>
      <c r="Q598" s="61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3">
      <c r="A599" s="28">
        <v>1270</v>
      </c>
      <c r="B599" s="28">
        <v>128884</v>
      </c>
      <c r="C599" s="129" t="s">
        <v>522</v>
      </c>
      <c r="D599" s="128" t="s">
        <v>171</v>
      </c>
      <c r="E599" s="128" t="s">
        <v>145</v>
      </c>
      <c r="F599" s="29">
        <v>32603</v>
      </c>
      <c r="G599" s="56" t="str">
        <f t="shared" ca="1" si="87"/>
        <v>Sénior</v>
      </c>
      <c r="H599" s="28">
        <f t="shared" ca="1" si="88"/>
        <v>32</v>
      </c>
      <c r="J599" s="38" t="str">
        <f t="shared" si="82"/>
        <v>Alcino Abreu</v>
      </c>
      <c r="K599" s="39">
        <f t="shared" si="83"/>
        <v>1270</v>
      </c>
      <c r="L599" s="39">
        <f t="shared" si="84"/>
        <v>128884</v>
      </c>
      <c r="M599" s="40">
        <f t="shared" si="89"/>
        <v>32603</v>
      </c>
      <c r="N599" s="41" t="str">
        <f t="shared" ca="1" si="90"/>
        <v>Sénior</v>
      </c>
      <c r="O599" s="41" t="str">
        <f t="shared" si="85"/>
        <v>M</v>
      </c>
      <c r="P599" s="60" t="str">
        <f t="shared" si="86"/>
        <v>CDES</v>
      </c>
      <c r="Q599" s="61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3">
      <c r="A600" s="28">
        <v>123</v>
      </c>
      <c r="B600" s="28">
        <v>162923</v>
      </c>
      <c r="C600" s="129" t="s">
        <v>1532</v>
      </c>
      <c r="D600" s="128" t="s">
        <v>171</v>
      </c>
      <c r="E600" s="128" t="s">
        <v>146</v>
      </c>
      <c r="F600" s="29">
        <v>26105</v>
      </c>
      <c r="G600" s="56" t="str">
        <f t="shared" ca="1" si="87"/>
        <v>V 45</v>
      </c>
      <c r="H600" s="28">
        <f t="shared" ca="1" si="88"/>
        <v>49</v>
      </c>
      <c r="J600" s="38" t="str">
        <f t="shared" si="82"/>
        <v>Ana Silva</v>
      </c>
      <c r="K600" s="39">
        <f t="shared" si="83"/>
        <v>123</v>
      </c>
      <c r="L600" s="39">
        <f t="shared" si="84"/>
        <v>162923</v>
      </c>
      <c r="M600" s="40">
        <f t="shared" si="89"/>
        <v>26105</v>
      </c>
      <c r="N600" s="41" t="str">
        <f t="shared" ca="1" si="90"/>
        <v>V 45</v>
      </c>
      <c r="O600" s="41" t="str">
        <f t="shared" si="85"/>
        <v>F</v>
      </c>
      <c r="P600" s="60" t="str">
        <f t="shared" si="86"/>
        <v>CDES</v>
      </c>
      <c r="Q600" s="61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3">
      <c r="A601" s="28">
        <v>125</v>
      </c>
      <c r="B601" s="28">
        <v>158624</v>
      </c>
      <c r="C601" s="129" t="s">
        <v>1151</v>
      </c>
      <c r="D601" s="128" t="s">
        <v>171</v>
      </c>
      <c r="E601" s="128" t="s">
        <v>146</v>
      </c>
      <c r="F601" s="29">
        <v>23103</v>
      </c>
      <c r="G601" s="56" t="str">
        <f t="shared" ca="1" si="87"/>
        <v>V 55</v>
      </c>
      <c r="H601" s="28">
        <f t="shared" ca="1" si="88"/>
        <v>58</v>
      </c>
      <c r="J601" s="38" t="str">
        <f t="shared" si="82"/>
        <v>Maria Noite</v>
      </c>
      <c r="K601" s="39">
        <f t="shared" si="83"/>
        <v>125</v>
      </c>
      <c r="L601" s="39">
        <f t="shared" si="84"/>
        <v>158624</v>
      </c>
      <c r="M601" s="40">
        <f t="shared" si="89"/>
        <v>23103</v>
      </c>
      <c r="N601" s="41" t="str">
        <f t="shared" ca="1" si="90"/>
        <v>V 55</v>
      </c>
      <c r="O601" s="41" t="str">
        <f t="shared" si="85"/>
        <v>F</v>
      </c>
      <c r="P601" s="60" t="str">
        <f t="shared" si="86"/>
        <v>CDES</v>
      </c>
      <c r="Q601" s="6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3">
      <c r="A602" s="28">
        <v>1269</v>
      </c>
      <c r="B602" s="28">
        <v>137265</v>
      </c>
      <c r="C602" s="129" t="s">
        <v>634</v>
      </c>
      <c r="D602" s="128" t="s">
        <v>171</v>
      </c>
      <c r="E602" s="128" t="s">
        <v>145</v>
      </c>
      <c r="F602" s="29">
        <v>33197</v>
      </c>
      <c r="G602" s="56" t="str">
        <f t="shared" ca="1" si="87"/>
        <v>Sénior</v>
      </c>
      <c r="H602" s="28">
        <f t="shared" ca="1" si="88"/>
        <v>30</v>
      </c>
      <c r="J602" s="38" t="str">
        <f t="shared" si="82"/>
        <v>Magno Sousa</v>
      </c>
      <c r="K602" s="39">
        <f t="shared" si="83"/>
        <v>1269</v>
      </c>
      <c r="L602" s="39">
        <f t="shared" si="84"/>
        <v>137265</v>
      </c>
      <c r="M602" s="40">
        <f t="shared" si="89"/>
        <v>33197</v>
      </c>
      <c r="N602" s="41" t="str">
        <f t="shared" ca="1" si="90"/>
        <v>Sénior</v>
      </c>
      <c r="O602" s="41" t="str">
        <f t="shared" si="85"/>
        <v>M</v>
      </c>
      <c r="P602" s="60" t="str">
        <f t="shared" si="86"/>
        <v>CDES</v>
      </c>
      <c r="Q602" s="61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3">
      <c r="A603" s="28">
        <v>1240</v>
      </c>
      <c r="B603" s="28">
        <v>128663</v>
      </c>
      <c r="C603" s="129" t="s">
        <v>167</v>
      </c>
      <c r="D603" s="128" t="s">
        <v>171</v>
      </c>
      <c r="E603" s="128" t="s">
        <v>145</v>
      </c>
      <c r="F603" s="29">
        <v>27806</v>
      </c>
      <c r="G603" s="56" t="str">
        <f t="shared" ca="1" si="87"/>
        <v>V 45</v>
      </c>
      <c r="H603" s="28">
        <f t="shared" ca="1" si="88"/>
        <v>45</v>
      </c>
      <c r="J603" s="38" t="str">
        <f t="shared" si="82"/>
        <v>Bruno Dantas</v>
      </c>
      <c r="K603" s="39">
        <f t="shared" si="83"/>
        <v>1240</v>
      </c>
      <c r="L603" s="39">
        <f t="shared" si="84"/>
        <v>128663</v>
      </c>
      <c r="M603" s="40">
        <f t="shared" si="89"/>
        <v>27806</v>
      </c>
      <c r="N603" s="41" t="str">
        <f t="shared" ca="1" si="90"/>
        <v>V 45</v>
      </c>
      <c r="O603" s="41" t="str">
        <f t="shared" si="85"/>
        <v>M</v>
      </c>
      <c r="P603" s="60" t="str">
        <f t="shared" si="86"/>
        <v>CDES</v>
      </c>
      <c r="Q603" s="61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3">
      <c r="A604" s="28">
        <v>2238</v>
      </c>
      <c r="B604" s="28">
        <v>159370</v>
      </c>
      <c r="C604" s="129" t="s">
        <v>1165</v>
      </c>
      <c r="D604" s="128" t="s">
        <v>171</v>
      </c>
      <c r="E604" s="128" t="s">
        <v>145</v>
      </c>
      <c r="F604" s="29">
        <v>40471</v>
      </c>
      <c r="G604" s="56" t="str">
        <f t="shared" ca="1" si="87"/>
        <v>Benjamim B</v>
      </c>
      <c r="H604" s="28">
        <f t="shared" ca="1" si="88"/>
        <v>10</v>
      </c>
      <c r="J604" s="38" t="str">
        <f t="shared" si="82"/>
        <v>Matias Brites</v>
      </c>
      <c r="K604" s="39">
        <f t="shared" si="83"/>
        <v>2238</v>
      </c>
      <c r="L604" s="39">
        <f t="shared" si="84"/>
        <v>159370</v>
      </c>
      <c r="M604" s="40">
        <f t="shared" si="89"/>
        <v>40471</v>
      </c>
      <c r="N604" s="41" t="str">
        <f t="shared" ca="1" si="90"/>
        <v>Benjamim B</v>
      </c>
      <c r="O604" s="41" t="str">
        <f t="shared" si="85"/>
        <v>M</v>
      </c>
      <c r="P604" s="60" t="str">
        <f t="shared" si="86"/>
        <v>CDES</v>
      </c>
      <c r="Q604" s="61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3">
      <c r="A605" s="28">
        <v>1906</v>
      </c>
      <c r="B605" s="28">
        <v>154159</v>
      </c>
      <c r="C605" s="129" t="s">
        <v>1002</v>
      </c>
      <c r="D605" s="128" t="s">
        <v>171</v>
      </c>
      <c r="E605" s="128" t="s">
        <v>146</v>
      </c>
      <c r="F605" s="29">
        <v>40171</v>
      </c>
      <c r="G605" s="56" t="str">
        <f t="shared" ca="1" si="87"/>
        <v>Infantil</v>
      </c>
      <c r="H605" s="28">
        <f t="shared" ca="1" si="88"/>
        <v>11</v>
      </c>
      <c r="J605" s="38" t="str">
        <f t="shared" si="82"/>
        <v>Leonor Pereira</v>
      </c>
      <c r="K605" s="39">
        <f t="shared" si="83"/>
        <v>1906</v>
      </c>
      <c r="L605" s="39">
        <f t="shared" si="84"/>
        <v>154159</v>
      </c>
      <c r="M605" s="40">
        <f t="shared" si="89"/>
        <v>40171</v>
      </c>
      <c r="N605" s="41" t="str">
        <f t="shared" ca="1" si="90"/>
        <v>Infantil</v>
      </c>
      <c r="O605" s="41" t="str">
        <f t="shared" si="85"/>
        <v>F</v>
      </c>
      <c r="P605" s="60" t="str">
        <f t="shared" si="86"/>
        <v>CDES</v>
      </c>
      <c r="Q605" s="61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3">
      <c r="A606" s="28">
        <v>1239</v>
      </c>
      <c r="B606" s="28">
        <v>143563</v>
      </c>
      <c r="C606" s="129" t="s">
        <v>808</v>
      </c>
      <c r="D606" s="128" t="s">
        <v>171</v>
      </c>
      <c r="E606" s="128" t="s">
        <v>145</v>
      </c>
      <c r="F606" s="29">
        <v>28268</v>
      </c>
      <c r="G606" s="56" t="str">
        <f t="shared" ca="1" si="87"/>
        <v>V 40</v>
      </c>
      <c r="H606" s="28">
        <f t="shared" ca="1" si="88"/>
        <v>43</v>
      </c>
      <c r="J606" s="38" t="str">
        <f t="shared" si="82"/>
        <v>João Nunes</v>
      </c>
      <c r="K606" s="39">
        <f t="shared" si="83"/>
        <v>1239</v>
      </c>
      <c r="L606" s="39">
        <f t="shared" si="84"/>
        <v>143563</v>
      </c>
      <c r="M606" s="40">
        <f t="shared" si="89"/>
        <v>28268</v>
      </c>
      <c r="N606" s="41" t="str">
        <f t="shared" ca="1" si="90"/>
        <v>V 40</v>
      </c>
      <c r="O606" s="41" t="str">
        <f t="shared" si="85"/>
        <v>M</v>
      </c>
      <c r="P606" s="60" t="str">
        <f t="shared" si="86"/>
        <v>CDES</v>
      </c>
      <c r="Q606" s="61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3">
      <c r="A607" s="28">
        <v>1238</v>
      </c>
      <c r="B607" s="28">
        <v>145901</v>
      </c>
      <c r="C607" s="129" t="s">
        <v>716</v>
      </c>
      <c r="D607" s="128" t="s">
        <v>171</v>
      </c>
      <c r="E607" s="128" t="s">
        <v>145</v>
      </c>
      <c r="F607" s="29">
        <v>28427</v>
      </c>
      <c r="G607" s="56" t="str">
        <f t="shared" ca="1" si="87"/>
        <v>V 40</v>
      </c>
      <c r="H607" s="28">
        <f t="shared" ca="1" si="88"/>
        <v>43</v>
      </c>
      <c r="J607" s="38" t="str">
        <f t="shared" si="82"/>
        <v>Élio Jesus</v>
      </c>
      <c r="K607" s="39">
        <f t="shared" si="83"/>
        <v>1238</v>
      </c>
      <c r="L607" s="39">
        <f t="shared" si="84"/>
        <v>145901</v>
      </c>
      <c r="M607" s="40">
        <f t="shared" si="89"/>
        <v>28427</v>
      </c>
      <c r="N607" s="41" t="str">
        <f t="shared" ca="1" si="90"/>
        <v>V 40</v>
      </c>
      <c r="O607" s="41" t="str">
        <f t="shared" si="85"/>
        <v>M</v>
      </c>
      <c r="P607" s="60" t="str">
        <f t="shared" si="86"/>
        <v>CDES</v>
      </c>
      <c r="Q607" s="61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3">
      <c r="A608" s="28">
        <v>1258</v>
      </c>
      <c r="B608" s="28">
        <v>159323</v>
      </c>
      <c r="C608" s="129" t="s">
        <v>1166</v>
      </c>
      <c r="D608" s="128" t="s">
        <v>171</v>
      </c>
      <c r="E608" s="128" t="s">
        <v>145</v>
      </c>
      <c r="F608" s="29">
        <v>31017</v>
      </c>
      <c r="G608" s="56" t="str">
        <f t="shared" ca="1" si="87"/>
        <v>V 35</v>
      </c>
      <c r="H608" s="28">
        <f t="shared" ca="1" si="88"/>
        <v>36</v>
      </c>
      <c r="J608" s="38" t="str">
        <f t="shared" si="82"/>
        <v>António Vieira</v>
      </c>
      <c r="K608" s="39">
        <f t="shared" si="83"/>
        <v>1258</v>
      </c>
      <c r="L608" s="39">
        <f t="shared" si="84"/>
        <v>159323</v>
      </c>
      <c r="M608" s="40">
        <f t="shared" si="89"/>
        <v>31017</v>
      </c>
      <c r="N608" s="41" t="str">
        <f t="shared" ca="1" si="90"/>
        <v>V 35</v>
      </c>
      <c r="O608" s="41" t="str">
        <f t="shared" si="85"/>
        <v>M</v>
      </c>
      <c r="P608" s="60" t="str">
        <f t="shared" si="86"/>
        <v>CDES</v>
      </c>
      <c r="Q608" s="61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3">
      <c r="A609" s="28">
        <v>1225</v>
      </c>
      <c r="B609" s="28">
        <v>142903</v>
      </c>
      <c r="C609" s="129" t="s">
        <v>575</v>
      </c>
      <c r="D609" s="128" t="s">
        <v>171</v>
      </c>
      <c r="E609" s="128" t="s">
        <v>145</v>
      </c>
      <c r="F609" s="29">
        <v>23684</v>
      </c>
      <c r="G609" s="56" t="str">
        <f t="shared" ca="1" si="87"/>
        <v>V 55</v>
      </c>
      <c r="H609" s="28">
        <f t="shared" ca="1" si="88"/>
        <v>56</v>
      </c>
      <c r="J609" s="38" t="str">
        <f t="shared" si="82"/>
        <v>Gil Rosa</v>
      </c>
      <c r="K609" s="39">
        <f t="shared" si="83"/>
        <v>1225</v>
      </c>
      <c r="L609" s="39">
        <f t="shared" si="84"/>
        <v>142903</v>
      </c>
      <c r="M609" s="40">
        <f t="shared" si="89"/>
        <v>23684</v>
      </c>
      <c r="N609" s="41" t="str">
        <f t="shared" ca="1" si="90"/>
        <v>V 55</v>
      </c>
      <c r="O609" s="41" t="str">
        <f t="shared" si="85"/>
        <v>M</v>
      </c>
      <c r="P609" s="60" t="str">
        <f t="shared" si="86"/>
        <v>CDES</v>
      </c>
      <c r="Q609" s="61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3">
      <c r="A610" s="28">
        <v>1268</v>
      </c>
      <c r="B610" s="28">
        <v>129845</v>
      </c>
      <c r="C610" s="129" t="s">
        <v>1537</v>
      </c>
      <c r="D610" s="128" t="s">
        <v>171</v>
      </c>
      <c r="E610" s="128" t="s">
        <v>145</v>
      </c>
      <c r="F610" s="29">
        <v>33451</v>
      </c>
      <c r="G610" s="56" t="str">
        <f t="shared" ca="1" si="87"/>
        <v>Sénior</v>
      </c>
      <c r="H610" s="28">
        <f t="shared" ca="1" si="88"/>
        <v>29</v>
      </c>
      <c r="J610" s="38" t="str">
        <f t="shared" si="82"/>
        <v>João Nogueira</v>
      </c>
      <c r="K610" s="39">
        <f t="shared" si="83"/>
        <v>1268</v>
      </c>
      <c r="L610" s="39">
        <f t="shared" si="84"/>
        <v>129845</v>
      </c>
      <c r="M610" s="40">
        <f t="shared" si="89"/>
        <v>33451</v>
      </c>
      <c r="N610" s="41" t="str">
        <f t="shared" ca="1" si="90"/>
        <v>Sénior</v>
      </c>
      <c r="O610" s="41" t="str">
        <f t="shared" si="85"/>
        <v>M</v>
      </c>
      <c r="P610" s="60" t="str">
        <f t="shared" si="86"/>
        <v>CDES</v>
      </c>
      <c r="Q610" s="61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3">
      <c r="A611" s="28">
        <v>4</v>
      </c>
      <c r="B611" s="28">
        <v>127947</v>
      </c>
      <c r="C611" s="129" t="s">
        <v>1627</v>
      </c>
      <c r="D611" s="128" t="s">
        <v>1646</v>
      </c>
      <c r="E611" s="128" t="s">
        <v>146</v>
      </c>
      <c r="F611" s="29">
        <v>22092</v>
      </c>
      <c r="G611" s="56" t="str">
        <f t="shared" ca="1" si="87"/>
        <v>V 60</v>
      </c>
      <c r="H611" s="28">
        <f t="shared" ca="1" si="88"/>
        <v>60</v>
      </c>
      <c r="J611" s="38" t="str">
        <f t="shared" si="82"/>
        <v>Luísa Ramos</v>
      </c>
      <c r="K611" s="39">
        <f t="shared" si="83"/>
        <v>4</v>
      </c>
      <c r="L611" s="39">
        <f t="shared" si="84"/>
        <v>127947</v>
      </c>
      <c r="M611" s="40">
        <f t="shared" si="89"/>
        <v>22092</v>
      </c>
      <c r="N611" s="41" t="str">
        <f t="shared" ca="1" si="90"/>
        <v>V 60</v>
      </c>
      <c r="O611" s="41" t="str">
        <f t="shared" si="85"/>
        <v>F</v>
      </c>
      <c r="P611" s="60" t="str">
        <f t="shared" si="86"/>
        <v>AAM-M</v>
      </c>
      <c r="Q611" s="6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3">
      <c r="A612" s="28">
        <v>1413</v>
      </c>
      <c r="B612" s="28">
        <v>138433</v>
      </c>
      <c r="C612" s="129" t="s">
        <v>594</v>
      </c>
      <c r="D612" s="128" t="s">
        <v>123</v>
      </c>
      <c r="E612" s="128" t="s">
        <v>145</v>
      </c>
      <c r="F612" s="29">
        <v>28996</v>
      </c>
      <c r="G612" s="56" t="str">
        <f t="shared" ca="1" si="87"/>
        <v>V 40</v>
      </c>
      <c r="H612" s="28">
        <f t="shared" ca="1" si="88"/>
        <v>41</v>
      </c>
      <c r="J612" s="38" t="str">
        <f t="shared" si="82"/>
        <v>Sílvio Freitas</v>
      </c>
      <c r="K612" s="39">
        <f t="shared" si="83"/>
        <v>1413</v>
      </c>
      <c r="L612" s="39">
        <f t="shared" si="84"/>
        <v>138433</v>
      </c>
      <c r="M612" s="40">
        <f t="shared" si="89"/>
        <v>28996</v>
      </c>
      <c r="N612" s="41" t="str">
        <f t="shared" ca="1" si="90"/>
        <v>V 40</v>
      </c>
      <c r="O612" s="41" t="str">
        <f t="shared" si="85"/>
        <v>M</v>
      </c>
      <c r="P612" s="60" t="str">
        <f t="shared" si="86"/>
        <v>AJS</v>
      </c>
      <c r="Q612" s="61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3">
      <c r="A613" s="28">
        <v>1424</v>
      </c>
      <c r="B613" s="28">
        <v>159156</v>
      </c>
      <c r="C613" s="129" t="s">
        <v>1220</v>
      </c>
      <c r="D613" s="128" t="s">
        <v>123</v>
      </c>
      <c r="E613" s="128" t="s">
        <v>145</v>
      </c>
      <c r="F613" s="29">
        <v>29740</v>
      </c>
      <c r="G613" s="56" t="str">
        <f t="shared" ca="1" si="87"/>
        <v>V 35</v>
      </c>
      <c r="H613" s="28">
        <f t="shared" ca="1" si="88"/>
        <v>39</v>
      </c>
      <c r="J613" s="38" t="str">
        <f t="shared" si="82"/>
        <v>Humberto Santos</v>
      </c>
      <c r="K613" s="39">
        <f t="shared" si="83"/>
        <v>1424</v>
      </c>
      <c r="L613" s="39">
        <f t="shared" si="84"/>
        <v>159156</v>
      </c>
      <c r="M613" s="40">
        <f t="shared" si="89"/>
        <v>29740</v>
      </c>
      <c r="N613" s="41" t="str">
        <f t="shared" ca="1" si="90"/>
        <v>V 35</v>
      </c>
      <c r="O613" s="41" t="str">
        <f t="shared" si="85"/>
        <v>M</v>
      </c>
      <c r="P613" s="60" t="str">
        <f t="shared" si="86"/>
        <v>AJS</v>
      </c>
      <c r="Q613" s="61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3">
      <c r="A614" s="28">
        <v>1437</v>
      </c>
      <c r="B614" s="28">
        <v>159165</v>
      </c>
      <c r="C614" s="129" t="s">
        <v>1219</v>
      </c>
      <c r="D614" s="128" t="s">
        <v>123</v>
      </c>
      <c r="E614" s="128" t="s">
        <v>145</v>
      </c>
      <c r="F614" s="29">
        <v>35360</v>
      </c>
      <c r="G614" s="56" t="str">
        <f t="shared" ca="1" si="87"/>
        <v>Sénior</v>
      </c>
      <c r="H614" s="28">
        <f t="shared" ca="1" si="88"/>
        <v>24</v>
      </c>
      <c r="J614" s="38" t="str">
        <f t="shared" si="82"/>
        <v>Diogo D. Pereira</v>
      </c>
      <c r="K614" s="39">
        <f t="shared" si="83"/>
        <v>1437</v>
      </c>
      <c r="L614" s="39">
        <f t="shared" si="84"/>
        <v>159165</v>
      </c>
      <c r="M614" s="40">
        <f t="shared" si="89"/>
        <v>35360</v>
      </c>
      <c r="N614" s="41" t="str">
        <f t="shared" ca="1" si="90"/>
        <v>Sénior</v>
      </c>
      <c r="O614" s="41" t="str">
        <f t="shared" si="85"/>
        <v>M</v>
      </c>
      <c r="P614" s="60" t="str">
        <f t="shared" si="86"/>
        <v>AJS</v>
      </c>
      <c r="Q614" s="61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3">
      <c r="A615" s="28">
        <v>996</v>
      </c>
      <c r="B615" s="28">
        <v>123806</v>
      </c>
      <c r="C615" s="129" t="s">
        <v>1519</v>
      </c>
      <c r="D615" s="128" t="s">
        <v>125</v>
      </c>
      <c r="E615" s="128" t="s">
        <v>145</v>
      </c>
      <c r="F615" s="29">
        <v>36001</v>
      </c>
      <c r="G615" s="56" t="str">
        <f t="shared" ca="1" si="87"/>
        <v>Sénior</v>
      </c>
      <c r="H615" s="28">
        <f t="shared" ca="1" si="88"/>
        <v>22</v>
      </c>
      <c r="J615" s="38" t="str">
        <f t="shared" si="82"/>
        <v>Miguel Mascarenhas</v>
      </c>
      <c r="K615" s="39">
        <f t="shared" si="83"/>
        <v>996</v>
      </c>
      <c r="L615" s="39">
        <f t="shared" si="84"/>
        <v>123806</v>
      </c>
      <c r="M615" s="40">
        <f t="shared" si="89"/>
        <v>36001</v>
      </c>
      <c r="N615" s="41" t="str">
        <f t="shared" ca="1" si="90"/>
        <v>Sénior</v>
      </c>
      <c r="O615" s="41" t="str">
        <f t="shared" si="85"/>
        <v>M</v>
      </c>
      <c r="P615" s="60" t="str">
        <f t="shared" si="86"/>
        <v>GDE</v>
      </c>
      <c r="Q615" s="61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3">
      <c r="A616" s="28">
        <v>868</v>
      </c>
      <c r="B616" s="28">
        <v>130300</v>
      </c>
      <c r="C616" s="129" t="s">
        <v>276</v>
      </c>
      <c r="D616" s="128" t="s">
        <v>164</v>
      </c>
      <c r="E616" s="128" t="s">
        <v>145</v>
      </c>
      <c r="F616" s="29">
        <v>16681</v>
      </c>
      <c r="G616" s="56" t="str">
        <f t="shared" ca="1" si="87"/>
        <v>V 75</v>
      </c>
      <c r="H616" s="28">
        <f t="shared" ca="1" si="88"/>
        <v>75</v>
      </c>
      <c r="J616" s="38" t="str">
        <f t="shared" si="82"/>
        <v>Tiago Brito</v>
      </c>
      <c r="K616" s="39">
        <f t="shared" si="83"/>
        <v>868</v>
      </c>
      <c r="L616" s="39">
        <f t="shared" si="84"/>
        <v>130300</v>
      </c>
      <c r="M616" s="40">
        <f t="shared" si="89"/>
        <v>16681</v>
      </c>
      <c r="N616" s="41" t="str">
        <f t="shared" ca="1" si="90"/>
        <v>V 75</v>
      </c>
      <c r="O616" s="41" t="str">
        <f t="shared" si="85"/>
        <v>M</v>
      </c>
      <c r="P616" s="60" t="str">
        <f t="shared" si="86"/>
        <v>CPCL</v>
      </c>
      <c r="Q616" s="61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3">
      <c r="A617" s="28">
        <v>1066</v>
      </c>
      <c r="B617" s="28">
        <v>131873</v>
      </c>
      <c r="C617" s="129" t="s">
        <v>274</v>
      </c>
      <c r="D617" s="128" t="s">
        <v>164</v>
      </c>
      <c r="E617" s="128" t="s">
        <v>145</v>
      </c>
      <c r="F617" s="29">
        <v>22582</v>
      </c>
      <c r="G617" s="56" t="str">
        <f t="shared" ca="1" si="87"/>
        <v>V 55</v>
      </c>
      <c r="H617" s="28">
        <f t="shared" ca="1" si="88"/>
        <v>59</v>
      </c>
      <c r="J617" s="38" t="str">
        <f t="shared" si="82"/>
        <v>José Olim</v>
      </c>
      <c r="K617" s="39">
        <f t="shared" si="83"/>
        <v>1066</v>
      </c>
      <c r="L617" s="39">
        <f t="shared" si="84"/>
        <v>131873</v>
      </c>
      <c r="M617" s="40">
        <f t="shared" si="89"/>
        <v>22582</v>
      </c>
      <c r="N617" s="41" t="str">
        <f t="shared" ca="1" si="90"/>
        <v>V 55</v>
      </c>
      <c r="O617" s="41" t="str">
        <f t="shared" si="85"/>
        <v>M</v>
      </c>
      <c r="P617" s="60" t="str">
        <f t="shared" si="86"/>
        <v>CPCL</v>
      </c>
      <c r="Q617" s="61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3">
      <c r="A618" s="28">
        <v>1065</v>
      </c>
      <c r="B618" s="28">
        <v>153950</v>
      </c>
      <c r="C618" s="129" t="s">
        <v>1001</v>
      </c>
      <c r="D618" s="128" t="s">
        <v>164</v>
      </c>
      <c r="E618" s="128" t="s">
        <v>145</v>
      </c>
      <c r="F618" s="29">
        <v>23291</v>
      </c>
      <c r="G618" s="56" t="str">
        <f t="shared" ca="1" si="87"/>
        <v>V 55</v>
      </c>
      <c r="H618" s="28">
        <f t="shared" ca="1" si="88"/>
        <v>57</v>
      </c>
      <c r="J618" s="38" t="str">
        <f t="shared" si="82"/>
        <v>Francisco JHenriques</v>
      </c>
      <c r="K618" s="39">
        <f t="shared" si="83"/>
        <v>1065</v>
      </c>
      <c r="L618" s="39">
        <f t="shared" si="84"/>
        <v>153950</v>
      </c>
      <c r="M618" s="40">
        <f t="shared" si="89"/>
        <v>23291</v>
      </c>
      <c r="N618" s="41" t="str">
        <f t="shared" ca="1" si="90"/>
        <v>V 55</v>
      </c>
      <c r="O618" s="41" t="str">
        <f t="shared" si="85"/>
        <v>M</v>
      </c>
      <c r="P618" s="60" t="str">
        <f t="shared" si="86"/>
        <v>CPCL</v>
      </c>
      <c r="Q618" s="61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3">
      <c r="A619" s="28">
        <v>870</v>
      </c>
      <c r="B619" s="28">
        <v>153266</v>
      </c>
      <c r="C619" s="129" t="s">
        <v>875</v>
      </c>
      <c r="D619" s="128" t="s">
        <v>164</v>
      </c>
      <c r="E619" s="128" t="s">
        <v>145</v>
      </c>
      <c r="F619" s="29">
        <v>19498</v>
      </c>
      <c r="G619" s="56" t="str">
        <f t="shared" ca="1" si="87"/>
        <v>V 65</v>
      </c>
      <c r="H619" s="28">
        <f t="shared" ca="1" si="88"/>
        <v>67</v>
      </c>
      <c r="J619" s="38" t="str">
        <f t="shared" si="82"/>
        <v>Eleutério Brito</v>
      </c>
      <c r="K619" s="39">
        <f t="shared" si="83"/>
        <v>870</v>
      </c>
      <c r="L619" s="39">
        <f t="shared" si="84"/>
        <v>153266</v>
      </c>
      <c r="M619" s="40">
        <f t="shared" si="89"/>
        <v>19498</v>
      </c>
      <c r="N619" s="41" t="str">
        <f t="shared" ca="1" si="90"/>
        <v>V 65</v>
      </c>
      <c r="O619" s="41" t="str">
        <f t="shared" si="85"/>
        <v>M</v>
      </c>
      <c r="P619" s="60" t="str">
        <f t="shared" si="86"/>
        <v>CPCL</v>
      </c>
      <c r="Q619" s="61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3">
      <c r="A620" s="28">
        <v>869</v>
      </c>
      <c r="B620" s="28">
        <v>146078</v>
      </c>
      <c r="C620" s="129" t="s">
        <v>577</v>
      </c>
      <c r="D620" s="128" t="s">
        <v>164</v>
      </c>
      <c r="E620" s="128" t="s">
        <v>145</v>
      </c>
      <c r="F620" s="29">
        <v>20028</v>
      </c>
      <c r="G620" s="56" t="str">
        <f t="shared" ca="1" si="87"/>
        <v>V 65</v>
      </c>
      <c r="H620" s="28">
        <f t="shared" ca="1" si="88"/>
        <v>66</v>
      </c>
      <c r="J620" s="38" t="str">
        <f t="shared" si="82"/>
        <v>Heliodoro Freitas</v>
      </c>
      <c r="K620" s="39">
        <f t="shared" si="83"/>
        <v>869</v>
      </c>
      <c r="L620" s="39">
        <f t="shared" si="84"/>
        <v>146078</v>
      </c>
      <c r="M620" s="40">
        <f t="shared" si="89"/>
        <v>20028</v>
      </c>
      <c r="N620" s="41" t="str">
        <f t="shared" ca="1" si="90"/>
        <v>V 65</v>
      </c>
      <c r="O620" s="41" t="str">
        <f t="shared" si="85"/>
        <v>M</v>
      </c>
      <c r="P620" s="60" t="str">
        <f t="shared" si="86"/>
        <v>CPCL</v>
      </c>
      <c r="Q620" s="61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3">
      <c r="A621" s="28">
        <v>1064</v>
      </c>
      <c r="B621" s="28">
        <v>131324</v>
      </c>
      <c r="C621" s="129" t="s">
        <v>275</v>
      </c>
      <c r="D621" s="128" t="s">
        <v>164</v>
      </c>
      <c r="E621" s="128" t="s">
        <v>145</v>
      </c>
      <c r="F621" s="29">
        <v>21406</v>
      </c>
      <c r="G621" s="56" t="str">
        <f t="shared" ca="1" si="87"/>
        <v>V 60</v>
      </c>
      <c r="H621" s="28">
        <f t="shared" ca="1" si="88"/>
        <v>62</v>
      </c>
      <c r="J621" s="38" t="str">
        <f t="shared" si="82"/>
        <v>Paulo de Abreu</v>
      </c>
      <c r="K621" s="39">
        <f t="shared" si="83"/>
        <v>1064</v>
      </c>
      <c r="L621" s="39">
        <f t="shared" si="84"/>
        <v>131324</v>
      </c>
      <c r="M621" s="40">
        <f t="shared" si="89"/>
        <v>21406</v>
      </c>
      <c r="N621" s="41" t="str">
        <f t="shared" ca="1" si="90"/>
        <v>V 60</v>
      </c>
      <c r="O621" s="41" t="str">
        <f t="shared" si="85"/>
        <v>M</v>
      </c>
      <c r="P621" s="60" t="str">
        <f t="shared" si="86"/>
        <v>CPCL</v>
      </c>
      <c r="Q621" s="6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3">
      <c r="A622" s="28">
        <v>76</v>
      </c>
      <c r="B622" s="28">
        <v>157714</v>
      </c>
      <c r="C622" s="129" t="s">
        <v>1109</v>
      </c>
      <c r="D622" s="128" t="s">
        <v>152</v>
      </c>
      <c r="E622" s="128" t="s">
        <v>146</v>
      </c>
      <c r="F622" s="29">
        <v>32301</v>
      </c>
      <c r="G622" s="56" t="str">
        <f t="shared" ca="1" si="87"/>
        <v>Sénior</v>
      </c>
      <c r="H622" s="28">
        <f t="shared" ca="1" si="88"/>
        <v>32</v>
      </c>
      <c r="J622" s="38" t="str">
        <f t="shared" si="82"/>
        <v>Andrea Gouveia</v>
      </c>
      <c r="K622" s="39">
        <f t="shared" si="83"/>
        <v>76</v>
      </c>
      <c r="L622" s="39">
        <f t="shared" si="84"/>
        <v>157714</v>
      </c>
      <c r="M622" s="40">
        <f t="shared" si="89"/>
        <v>32301</v>
      </c>
      <c r="N622" s="41" t="str">
        <f t="shared" ca="1" si="90"/>
        <v>Sénior</v>
      </c>
      <c r="O622" s="41" t="str">
        <f t="shared" si="85"/>
        <v>F</v>
      </c>
      <c r="P622" s="60" t="str">
        <f t="shared" si="86"/>
        <v>ARCA-M</v>
      </c>
      <c r="Q622" s="61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3">
      <c r="A623" s="28">
        <v>1896</v>
      </c>
      <c r="B623" s="28">
        <v>158439</v>
      </c>
      <c r="C623" s="129" t="s">
        <v>1110</v>
      </c>
      <c r="D623" s="128" t="s">
        <v>152</v>
      </c>
      <c r="E623" s="128" t="s">
        <v>145</v>
      </c>
      <c r="F623" s="29">
        <v>39061</v>
      </c>
      <c r="G623" s="56" t="str">
        <f t="shared" ca="1" si="87"/>
        <v>Iniciado</v>
      </c>
      <c r="H623" s="28">
        <f t="shared" ca="1" si="88"/>
        <v>14</v>
      </c>
      <c r="J623" s="38" t="str">
        <f t="shared" si="82"/>
        <v>João T. Andrade</v>
      </c>
      <c r="K623" s="39">
        <f t="shared" si="83"/>
        <v>1896</v>
      </c>
      <c r="L623" s="39">
        <f t="shared" si="84"/>
        <v>158439</v>
      </c>
      <c r="M623" s="40">
        <f t="shared" si="89"/>
        <v>39061</v>
      </c>
      <c r="N623" s="41" t="str">
        <f t="shared" ca="1" si="90"/>
        <v>Iniciado</v>
      </c>
      <c r="O623" s="41" t="str">
        <f t="shared" si="85"/>
        <v>M</v>
      </c>
      <c r="P623" s="60" t="str">
        <f t="shared" si="86"/>
        <v>ARCA-M</v>
      </c>
      <c r="Q623" s="61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3">
      <c r="A624" s="28">
        <v>1368</v>
      </c>
      <c r="B624" s="28">
        <v>157501</v>
      </c>
      <c r="C624" s="129" t="s">
        <v>1087</v>
      </c>
      <c r="D624" s="128" t="s">
        <v>152</v>
      </c>
      <c r="E624" s="128" t="s">
        <v>145</v>
      </c>
      <c r="F624" s="29">
        <v>36370</v>
      </c>
      <c r="G624" s="56" t="str">
        <f t="shared" ca="1" si="87"/>
        <v>sub 23</v>
      </c>
      <c r="H624" s="28">
        <f t="shared" ca="1" si="88"/>
        <v>21</v>
      </c>
      <c r="J624" s="38" t="str">
        <f t="shared" si="82"/>
        <v>Paulo Andrade</v>
      </c>
      <c r="K624" s="39">
        <f t="shared" si="83"/>
        <v>1368</v>
      </c>
      <c r="L624" s="39">
        <f t="shared" si="84"/>
        <v>157501</v>
      </c>
      <c r="M624" s="40">
        <f t="shared" si="89"/>
        <v>36370</v>
      </c>
      <c r="N624" s="41" t="str">
        <f t="shared" ca="1" si="90"/>
        <v>sub 23</v>
      </c>
      <c r="O624" s="41" t="str">
        <f t="shared" si="85"/>
        <v>M</v>
      </c>
      <c r="P624" s="60" t="str">
        <f t="shared" si="86"/>
        <v>ARCA-M</v>
      </c>
      <c r="Q624" s="61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3">
      <c r="A625" s="28">
        <v>1150</v>
      </c>
      <c r="B625" s="28">
        <v>137313</v>
      </c>
      <c r="C625" s="129" t="s">
        <v>422</v>
      </c>
      <c r="D625" s="128" t="s">
        <v>157</v>
      </c>
      <c r="E625" s="128" t="s">
        <v>145</v>
      </c>
      <c r="F625" s="29">
        <v>24125</v>
      </c>
      <c r="G625" s="56" t="str">
        <f t="shared" ca="1" si="87"/>
        <v>V 55</v>
      </c>
      <c r="H625" s="28">
        <f t="shared" ca="1" si="88"/>
        <v>55</v>
      </c>
      <c r="I625" s="34"/>
      <c r="J625" s="38" t="str">
        <f t="shared" si="82"/>
        <v>Miguel Dias</v>
      </c>
      <c r="K625" s="39">
        <f t="shared" si="83"/>
        <v>1150</v>
      </c>
      <c r="L625" s="39">
        <f t="shared" si="84"/>
        <v>137313</v>
      </c>
      <c r="M625" s="40">
        <f t="shared" si="89"/>
        <v>24125</v>
      </c>
      <c r="N625" s="41" t="str">
        <f t="shared" ca="1" si="90"/>
        <v>V 55</v>
      </c>
      <c r="O625" s="41" t="str">
        <f t="shared" si="85"/>
        <v>M</v>
      </c>
      <c r="P625" s="60" t="str">
        <f t="shared" si="86"/>
        <v>CFCARV</v>
      </c>
      <c r="Q625" s="61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3">
      <c r="A626" s="28">
        <v>1149</v>
      </c>
      <c r="B626" s="28">
        <v>128979</v>
      </c>
      <c r="C626" s="129" t="s">
        <v>247</v>
      </c>
      <c r="D626" s="128" t="s">
        <v>157</v>
      </c>
      <c r="E626" s="128" t="s">
        <v>145</v>
      </c>
      <c r="F626" s="29">
        <v>21926</v>
      </c>
      <c r="G626" s="56" t="str">
        <f t="shared" ca="1" si="87"/>
        <v>V 60</v>
      </c>
      <c r="H626" s="28">
        <f t="shared" ca="1" si="88"/>
        <v>61</v>
      </c>
      <c r="I626" s="35"/>
      <c r="J626" s="38" t="str">
        <f t="shared" si="82"/>
        <v>Rui Dias</v>
      </c>
      <c r="K626" s="39">
        <f t="shared" si="83"/>
        <v>1149</v>
      </c>
      <c r="L626" s="39">
        <f t="shared" si="84"/>
        <v>128979</v>
      </c>
      <c r="M626" s="40">
        <f t="shared" si="89"/>
        <v>21926</v>
      </c>
      <c r="N626" s="41" t="str">
        <f t="shared" ca="1" si="90"/>
        <v>V 60</v>
      </c>
      <c r="O626" s="41" t="str">
        <f t="shared" si="85"/>
        <v>M</v>
      </c>
      <c r="P626" s="60" t="str">
        <f t="shared" si="86"/>
        <v>CFCARV</v>
      </c>
      <c r="Q626" s="61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3">
      <c r="A627" s="28">
        <v>872</v>
      </c>
      <c r="B627" s="28">
        <v>127438</v>
      </c>
      <c r="C627" s="129" t="s">
        <v>215</v>
      </c>
      <c r="D627" s="128" t="s">
        <v>157</v>
      </c>
      <c r="E627" s="128" t="s">
        <v>145</v>
      </c>
      <c r="F627" s="29">
        <v>20032</v>
      </c>
      <c r="G627" s="56" t="str">
        <f t="shared" ca="1" si="87"/>
        <v>V 65</v>
      </c>
      <c r="H627" s="28">
        <f t="shared" ca="1" si="88"/>
        <v>66</v>
      </c>
      <c r="J627" s="38" t="str">
        <f t="shared" si="82"/>
        <v>José António Spínola</v>
      </c>
      <c r="K627" s="39">
        <f t="shared" si="83"/>
        <v>872</v>
      </c>
      <c r="L627" s="39">
        <f t="shared" si="84"/>
        <v>127438</v>
      </c>
      <c r="M627" s="40">
        <f t="shared" si="89"/>
        <v>20032</v>
      </c>
      <c r="N627" s="41" t="str">
        <f t="shared" ca="1" si="90"/>
        <v>V 65</v>
      </c>
      <c r="O627" s="41" t="str">
        <f t="shared" si="85"/>
        <v>M</v>
      </c>
      <c r="P627" s="60" t="str">
        <f t="shared" si="86"/>
        <v>CFCARV</v>
      </c>
      <c r="Q627" s="61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3">
      <c r="A628" s="28">
        <v>2042</v>
      </c>
      <c r="B628" s="28">
        <v>142841</v>
      </c>
      <c r="C628" s="129" t="s">
        <v>745</v>
      </c>
      <c r="D628" s="128" t="s">
        <v>736</v>
      </c>
      <c r="E628" s="128" t="s">
        <v>145</v>
      </c>
      <c r="F628" s="29">
        <v>40157</v>
      </c>
      <c r="G628" s="56" t="str">
        <f t="shared" ca="1" si="87"/>
        <v>Infantil</v>
      </c>
      <c r="H628" s="28">
        <f t="shared" ca="1" si="88"/>
        <v>11</v>
      </c>
      <c r="I628" s="34"/>
      <c r="J628" s="38" t="str">
        <f t="shared" si="82"/>
        <v>Guilherme Nunes</v>
      </c>
      <c r="K628" s="39">
        <f t="shared" si="83"/>
        <v>2042</v>
      </c>
      <c r="L628" s="39">
        <f t="shared" si="84"/>
        <v>142841</v>
      </c>
      <c r="M628" s="40">
        <f t="shared" si="89"/>
        <v>40157</v>
      </c>
      <c r="N628" s="41" t="str">
        <f t="shared" ca="1" si="90"/>
        <v>Infantil</v>
      </c>
      <c r="O628" s="41" t="str">
        <f t="shared" si="85"/>
        <v>M</v>
      </c>
      <c r="P628" s="60" t="str">
        <f t="shared" si="86"/>
        <v>CFA-M</v>
      </c>
      <c r="Q628" s="61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3">
      <c r="A629" s="28">
        <v>1907</v>
      </c>
      <c r="B629" s="28">
        <v>147310</v>
      </c>
      <c r="C629" s="129" t="s">
        <v>741</v>
      </c>
      <c r="D629" s="128" t="s">
        <v>736</v>
      </c>
      <c r="E629" s="128" t="s">
        <v>146</v>
      </c>
      <c r="F629" s="29">
        <v>39763</v>
      </c>
      <c r="G629" s="56" t="str">
        <f t="shared" ca="1" si="87"/>
        <v>Infantil</v>
      </c>
      <c r="H629" s="28">
        <f t="shared" ca="1" si="88"/>
        <v>12</v>
      </c>
      <c r="J629" s="38" t="str">
        <f t="shared" si="82"/>
        <v>Débora Martins</v>
      </c>
      <c r="K629" s="39">
        <f t="shared" si="83"/>
        <v>1907</v>
      </c>
      <c r="L629" s="39">
        <f t="shared" si="84"/>
        <v>147310</v>
      </c>
      <c r="M629" s="40">
        <f t="shared" si="89"/>
        <v>39763</v>
      </c>
      <c r="N629" s="41" t="str">
        <f t="shared" ca="1" si="90"/>
        <v>Infantil</v>
      </c>
      <c r="O629" s="41" t="str">
        <f t="shared" si="85"/>
        <v>F</v>
      </c>
      <c r="P629" s="60" t="str">
        <f t="shared" si="86"/>
        <v>CFA-M</v>
      </c>
      <c r="Q629" s="61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3">
      <c r="A630" s="28">
        <v>1890</v>
      </c>
      <c r="B630" s="28">
        <v>148131</v>
      </c>
      <c r="C630" s="129" t="s">
        <v>746</v>
      </c>
      <c r="D630" s="128" t="s">
        <v>736</v>
      </c>
      <c r="E630" s="128" t="s">
        <v>145</v>
      </c>
      <c r="F630" s="29">
        <v>38799</v>
      </c>
      <c r="G630" s="56" t="str">
        <f t="shared" ca="1" si="87"/>
        <v>Iniciado</v>
      </c>
      <c r="H630" s="28">
        <f t="shared" ca="1" si="88"/>
        <v>15</v>
      </c>
      <c r="J630" s="38" t="str">
        <f t="shared" si="82"/>
        <v>Rafael Baroca</v>
      </c>
      <c r="K630" s="39">
        <f t="shared" si="83"/>
        <v>1890</v>
      </c>
      <c r="L630" s="39">
        <f t="shared" si="84"/>
        <v>148131</v>
      </c>
      <c r="M630" s="40">
        <f t="shared" si="89"/>
        <v>38799</v>
      </c>
      <c r="N630" s="41" t="str">
        <f t="shared" ca="1" si="90"/>
        <v>Iniciado</v>
      </c>
      <c r="O630" s="41" t="str">
        <f t="shared" si="85"/>
        <v>M</v>
      </c>
      <c r="P630" s="60" t="str">
        <f t="shared" si="86"/>
        <v>CFA-M</v>
      </c>
      <c r="Q630" s="61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3">
      <c r="A631" s="28">
        <v>2072</v>
      </c>
      <c r="B631" s="28">
        <v>158423</v>
      </c>
      <c r="C631" s="129" t="s">
        <v>1202</v>
      </c>
      <c r="D631" s="128" t="s">
        <v>736</v>
      </c>
      <c r="E631" s="128" t="s">
        <v>146</v>
      </c>
      <c r="F631" s="29">
        <v>40588</v>
      </c>
      <c r="G631" s="56" t="str">
        <f t="shared" ca="1" si="87"/>
        <v>Benjamim B</v>
      </c>
      <c r="H631" s="28">
        <f t="shared" ca="1" si="88"/>
        <v>10</v>
      </c>
      <c r="J631" s="38" t="str">
        <f t="shared" si="82"/>
        <v>Bruna Alves</v>
      </c>
      <c r="K631" s="39">
        <f t="shared" si="83"/>
        <v>2072</v>
      </c>
      <c r="L631" s="39">
        <f t="shared" si="84"/>
        <v>158423</v>
      </c>
      <c r="M631" s="40">
        <f t="shared" si="89"/>
        <v>40588</v>
      </c>
      <c r="N631" s="41" t="str">
        <f t="shared" ca="1" si="90"/>
        <v>Benjamim B</v>
      </c>
      <c r="O631" s="41" t="str">
        <f t="shared" si="85"/>
        <v>F</v>
      </c>
      <c r="P631" s="60" t="str">
        <f t="shared" si="86"/>
        <v>CFA-M</v>
      </c>
      <c r="Q631" s="6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3">
      <c r="A632" s="28">
        <v>1889</v>
      </c>
      <c r="B632" s="28">
        <v>126774</v>
      </c>
      <c r="C632" s="129" t="s">
        <v>742</v>
      </c>
      <c r="D632" s="128" t="s">
        <v>736</v>
      </c>
      <c r="E632" s="128" t="s">
        <v>145</v>
      </c>
      <c r="F632" s="29">
        <v>38909</v>
      </c>
      <c r="G632" s="56" t="str">
        <f t="shared" ca="1" si="87"/>
        <v>Iniciado</v>
      </c>
      <c r="H632" s="28">
        <f t="shared" ca="1" si="88"/>
        <v>14</v>
      </c>
      <c r="J632" s="38" t="str">
        <f t="shared" si="82"/>
        <v>Bernardo Teixeira</v>
      </c>
      <c r="K632" s="39">
        <f t="shared" si="83"/>
        <v>1889</v>
      </c>
      <c r="L632" s="39">
        <f t="shared" si="84"/>
        <v>126774</v>
      </c>
      <c r="M632" s="40">
        <f t="shared" si="89"/>
        <v>38909</v>
      </c>
      <c r="N632" s="41" t="str">
        <f t="shared" ca="1" si="90"/>
        <v>Iniciado</v>
      </c>
      <c r="O632" s="41" t="str">
        <f t="shared" si="85"/>
        <v>M</v>
      </c>
      <c r="P632" s="60" t="str">
        <f t="shared" si="86"/>
        <v>CFA-M</v>
      </c>
      <c r="Q632" s="61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3">
      <c r="A633" s="28">
        <v>1156</v>
      </c>
      <c r="B633" s="28">
        <v>163596</v>
      </c>
      <c r="C633" s="129" t="s">
        <v>1449</v>
      </c>
      <c r="D633" s="128" t="s">
        <v>736</v>
      </c>
      <c r="E633" s="128" t="s">
        <v>145</v>
      </c>
      <c r="F633" s="29">
        <v>27198</v>
      </c>
      <c r="G633" s="56" t="str">
        <f t="shared" ca="1" si="87"/>
        <v>V 45</v>
      </c>
      <c r="H633" s="28">
        <f t="shared" ca="1" si="88"/>
        <v>46</v>
      </c>
      <c r="J633" s="38" t="str">
        <f t="shared" si="82"/>
        <v>João P. Nunes</v>
      </c>
      <c r="K633" s="39">
        <f t="shared" si="83"/>
        <v>1156</v>
      </c>
      <c r="L633" s="39">
        <f t="shared" si="84"/>
        <v>163596</v>
      </c>
      <c r="M633" s="40">
        <f t="shared" si="89"/>
        <v>27198</v>
      </c>
      <c r="N633" s="41" t="str">
        <f t="shared" ca="1" si="90"/>
        <v>V 45</v>
      </c>
      <c r="O633" s="41" t="str">
        <f t="shared" si="85"/>
        <v>M</v>
      </c>
      <c r="P633" s="60" t="str">
        <f t="shared" si="86"/>
        <v>CFA-M</v>
      </c>
      <c r="Q633" s="61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3">
      <c r="A634" s="28">
        <v>1152</v>
      </c>
      <c r="B634" s="28">
        <v>128309</v>
      </c>
      <c r="C634" s="129" t="s">
        <v>744</v>
      </c>
      <c r="D634" s="128" t="s">
        <v>736</v>
      </c>
      <c r="E634" s="128" t="s">
        <v>145</v>
      </c>
      <c r="F634" s="29">
        <v>24264</v>
      </c>
      <c r="G634" s="56" t="str">
        <f t="shared" ca="1" si="87"/>
        <v>V 50</v>
      </c>
      <c r="H634" s="28">
        <f t="shared" ca="1" si="88"/>
        <v>54</v>
      </c>
      <c r="J634" s="38" t="str">
        <f t="shared" si="82"/>
        <v>Carlos Ramos</v>
      </c>
      <c r="K634" s="39">
        <f t="shared" si="83"/>
        <v>1152</v>
      </c>
      <c r="L634" s="39">
        <f t="shared" si="84"/>
        <v>128309</v>
      </c>
      <c r="M634" s="40">
        <f t="shared" si="89"/>
        <v>24264</v>
      </c>
      <c r="N634" s="41" t="str">
        <f t="shared" ca="1" si="90"/>
        <v>V 50</v>
      </c>
      <c r="O634" s="41" t="str">
        <f t="shared" si="85"/>
        <v>M</v>
      </c>
      <c r="P634" s="60" t="str">
        <f t="shared" si="86"/>
        <v>CFA-M</v>
      </c>
      <c r="Q634" s="61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3">
      <c r="A635" s="28">
        <v>157</v>
      </c>
      <c r="B635" s="28">
        <v>128403</v>
      </c>
      <c r="C635" s="129" t="s">
        <v>739</v>
      </c>
      <c r="D635" s="128" t="s">
        <v>736</v>
      </c>
      <c r="E635" s="128" t="s">
        <v>146</v>
      </c>
      <c r="F635" s="29">
        <v>25959</v>
      </c>
      <c r="G635" s="56" t="str">
        <f t="shared" ca="1" si="87"/>
        <v>V 50</v>
      </c>
      <c r="H635" s="28">
        <f t="shared" ca="1" si="88"/>
        <v>50</v>
      </c>
      <c r="J635" s="38" t="str">
        <f t="shared" si="82"/>
        <v>Sandra Pestana</v>
      </c>
      <c r="K635" s="39">
        <f t="shared" si="83"/>
        <v>157</v>
      </c>
      <c r="L635" s="39">
        <f t="shared" si="84"/>
        <v>128403</v>
      </c>
      <c r="M635" s="40">
        <f t="shared" si="89"/>
        <v>25959</v>
      </c>
      <c r="N635" s="41" t="str">
        <f t="shared" ca="1" si="90"/>
        <v>V 50</v>
      </c>
      <c r="O635" s="41" t="str">
        <f t="shared" si="85"/>
        <v>F</v>
      </c>
      <c r="P635" s="60" t="str">
        <f t="shared" si="86"/>
        <v>CFA-M</v>
      </c>
      <c r="Q635" s="61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3">
      <c r="A636" s="28">
        <v>1723</v>
      </c>
      <c r="B636" s="28">
        <v>147108</v>
      </c>
      <c r="C636" s="129" t="s">
        <v>1405</v>
      </c>
      <c r="D636" s="128" t="s">
        <v>736</v>
      </c>
      <c r="E636" s="128" t="s">
        <v>145</v>
      </c>
      <c r="F636" s="29">
        <v>38175</v>
      </c>
      <c r="G636" s="56" t="str">
        <f t="shared" ca="1" si="87"/>
        <v>Juvenil</v>
      </c>
      <c r="H636" s="28">
        <f t="shared" ca="1" si="88"/>
        <v>16</v>
      </c>
      <c r="J636" s="38" t="str">
        <f t="shared" si="82"/>
        <v>Tiago Serrano</v>
      </c>
      <c r="K636" s="39">
        <f t="shared" si="83"/>
        <v>1723</v>
      </c>
      <c r="L636" s="39">
        <f t="shared" si="84"/>
        <v>147108</v>
      </c>
      <c r="M636" s="40">
        <f t="shared" si="89"/>
        <v>38175</v>
      </c>
      <c r="N636" s="41" t="str">
        <f t="shared" ca="1" si="90"/>
        <v>Juvenil</v>
      </c>
      <c r="O636" s="41" t="str">
        <f t="shared" si="85"/>
        <v>M</v>
      </c>
      <c r="P636" s="60" t="str">
        <f t="shared" si="86"/>
        <v>CFA-M</v>
      </c>
      <c r="Q636" s="61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3">
      <c r="A637" s="28">
        <v>1565</v>
      </c>
      <c r="B637" s="28">
        <v>126771</v>
      </c>
      <c r="C637" s="129" t="s">
        <v>737</v>
      </c>
      <c r="D637" s="128" t="s">
        <v>736</v>
      </c>
      <c r="E637" s="128" t="s">
        <v>146</v>
      </c>
      <c r="F637" s="29">
        <v>37804</v>
      </c>
      <c r="G637" s="56" t="str">
        <f t="shared" ca="1" si="87"/>
        <v>Júnior</v>
      </c>
      <c r="H637" s="28">
        <f t="shared" ca="1" si="88"/>
        <v>17</v>
      </c>
      <c r="J637" s="38" t="str">
        <f t="shared" si="82"/>
        <v>Margarida Roque</v>
      </c>
      <c r="K637" s="39">
        <f t="shared" si="83"/>
        <v>1565</v>
      </c>
      <c r="L637" s="39">
        <f t="shared" si="84"/>
        <v>126771</v>
      </c>
      <c r="M637" s="40">
        <f t="shared" si="89"/>
        <v>37804</v>
      </c>
      <c r="N637" s="41" t="str">
        <f t="shared" ca="1" si="90"/>
        <v>Júnior</v>
      </c>
      <c r="O637" s="41" t="str">
        <f t="shared" si="85"/>
        <v>F</v>
      </c>
      <c r="P637" s="60" t="str">
        <f t="shared" si="86"/>
        <v>CFA-M</v>
      </c>
      <c r="Q637" s="61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3">
      <c r="A638" s="28">
        <v>1160</v>
      </c>
      <c r="B638" s="28">
        <v>156683</v>
      </c>
      <c r="C638" s="129" t="s">
        <v>1205</v>
      </c>
      <c r="D638" s="128" t="s">
        <v>736</v>
      </c>
      <c r="E638" s="128" t="s">
        <v>145</v>
      </c>
      <c r="F638" s="29">
        <v>33534</v>
      </c>
      <c r="G638" s="56" t="str">
        <f t="shared" ca="1" si="87"/>
        <v>Sénior</v>
      </c>
      <c r="H638" s="28">
        <f t="shared" ca="1" si="88"/>
        <v>29</v>
      </c>
      <c r="J638" s="38" t="str">
        <f t="shared" si="82"/>
        <v>César Cardoso</v>
      </c>
      <c r="K638" s="39">
        <f t="shared" si="83"/>
        <v>1160</v>
      </c>
      <c r="L638" s="39">
        <f t="shared" si="84"/>
        <v>156683</v>
      </c>
      <c r="M638" s="40">
        <f t="shared" si="89"/>
        <v>33534</v>
      </c>
      <c r="N638" s="41" t="str">
        <f t="shared" ca="1" si="90"/>
        <v>Sénior</v>
      </c>
      <c r="O638" s="41" t="str">
        <f t="shared" si="85"/>
        <v>M</v>
      </c>
      <c r="P638" s="60" t="str">
        <f t="shared" si="86"/>
        <v>CFA-M</v>
      </c>
      <c r="Q638" s="61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3">
      <c r="A639" s="28">
        <v>1155</v>
      </c>
      <c r="B639" s="28">
        <v>154346</v>
      </c>
      <c r="C639" s="129" t="s">
        <v>968</v>
      </c>
      <c r="D639" s="128" t="s">
        <v>736</v>
      </c>
      <c r="E639" s="128" t="s">
        <v>145</v>
      </c>
      <c r="F639" s="29">
        <v>26575</v>
      </c>
      <c r="G639" s="56" t="str">
        <f t="shared" ca="1" si="87"/>
        <v>V 45</v>
      </c>
      <c r="H639" s="28">
        <f t="shared" ca="1" si="88"/>
        <v>48</v>
      </c>
      <c r="J639" s="38" t="str">
        <f t="shared" si="82"/>
        <v>Aldino Roque</v>
      </c>
      <c r="K639" s="39">
        <f t="shared" si="83"/>
        <v>1155</v>
      </c>
      <c r="L639" s="39">
        <f t="shared" si="84"/>
        <v>154346</v>
      </c>
      <c r="M639" s="40">
        <f t="shared" si="89"/>
        <v>26575</v>
      </c>
      <c r="N639" s="41" t="str">
        <f t="shared" ca="1" si="90"/>
        <v>V 45</v>
      </c>
      <c r="O639" s="41" t="str">
        <f t="shared" si="85"/>
        <v>M</v>
      </c>
      <c r="P639" s="60" t="str">
        <f t="shared" si="86"/>
        <v>CFA-M</v>
      </c>
      <c r="Q639" s="61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3">
      <c r="A640" s="28">
        <v>1159</v>
      </c>
      <c r="B640" s="28">
        <v>148341</v>
      </c>
      <c r="C640" s="129" t="s">
        <v>747</v>
      </c>
      <c r="D640" s="128" t="s">
        <v>736</v>
      </c>
      <c r="E640" s="128" t="s">
        <v>145</v>
      </c>
      <c r="F640" s="29">
        <v>32597</v>
      </c>
      <c r="G640" s="56" t="str">
        <f t="shared" ca="1" si="87"/>
        <v>Sénior</v>
      </c>
      <c r="H640" s="28">
        <f t="shared" ca="1" si="88"/>
        <v>32</v>
      </c>
      <c r="J640" s="38" t="str">
        <f t="shared" si="82"/>
        <v>Carlos R. Brito</v>
      </c>
      <c r="K640" s="39">
        <f t="shared" si="83"/>
        <v>1159</v>
      </c>
      <c r="L640" s="39">
        <f t="shared" si="84"/>
        <v>148341</v>
      </c>
      <c r="M640" s="40">
        <f t="shared" si="89"/>
        <v>32597</v>
      </c>
      <c r="N640" s="41" t="str">
        <f t="shared" ca="1" si="90"/>
        <v>Sénior</v>
      </c>
      <c r="O640" s="41" t="str">
        <f t="shared" si="85"/>
        <v>M</v>
      </c>
      <c r="P640" s="60" t="str">
        <f t="shared" si="86"/>
        <v>CFA-M</v>
      </c>
      <c r="Q640" s="61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3">
      <c r="A641" s="28">
        <v>1154</v>
      </c>
      <c r="B641" s="28">
        <v>149325</v>
      </c>
      <c r="C641" s="129" t="s">
        <v>1204</v>
      </c>
      <c r="D641" s="128" t="s">
        <v>736</v>
      </c>
      <c r="E641" s="128" t="s">
        <v>145</v>
      </c>
      <c r="F641" s="29">
        <v>27231</v>
      </c>
      <c r="G641" s="56" t="str">
        <f t="shared" ca="1" si="87"/>
        <v>V 45</v>
      </c>
      <c r="H641" s="28">
        <f t="shared" ca="1" si="88"/>
        <v>46</v>
      </c>
      <c r="J641" s="38" t="str">
        <f t="shared" si="82"/>
        <v>Christophe Afonso</v>
      </c>
      <c r="K641" s="39">
        <f t="shared" si="83"/>
        <v>1154</v>
      </c>
      <c r="L641" s="39">
        <f t="shared" si="84"/>
        <v>149325</v>
      </c>
      <c r="M641" s="40">
        <f t="shared" si="89"/>
        <v>27231</v>
      </c>
      <c r="N641" s="41" t="str">
        <f t="shared" ca="1" si="90"/>
        <v>V 45</v>
      </c>
      <c r="O641" s="41" t="str">
        <f t="shared" si="85"/>
        <v>M</v>
      </c>
      <c r="P641" s="60" t="str">
        <f t="shared" si="86"/>
        <v>CFA-M</v>
      </c>
      <c r="Q641" s="6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3">
      <c r="A642" s="28">
        <v>1151</v>
      </c>
      <c r="B642" s="28">
        <v>154344</v>
      </c>
      <c r="C642" s="129" t="s">
        <v>967</v>
      </c>
      <c r="D642" s="128" t="s">
        <v>736</v>
      </c>
      <c r="E642" s="128" t="s">
        <v>145</v>
      </c>
      <c r="F642" s="29">
        <v>24115</v>
      </c>
      <c r="G642" s="56" t="str">
        <f t="shared" ca="1" si="87"/>
        <v>V 55</v>
      </c>
      <c r="H642" s="28">
        <f t="shared" ca="1" si="88"/>
        <v>55</v>
      </c>
      <c r="J642" s="38" t="str">
        <f t="shared" ref="J642:J705" si="91">C642</f>
        <v>Justino Soares</v>
      </c>
      <c r="K642" s="39">
        <f t="shared" ref="K642:K705" si="92">A642</f>
        <v>1151</v>
      </c>
      <c r="L642" s="39">
        <f t="shared" ref="L642:L705" si="93">B642</f>
        <v>154344</v>
      </c>
      <c r="M642" s="40">
        <f t="shared" si="89"/>
        <v>24115</v>
      </c>
      <c r="N642" s="41" t="str">
        <f t="shared" ca="1" si="90"/>
        <v>V 55</v>
      </c>
      <c r="O642" s="41" t="str">
        <f t="shared" ref="O642:O705" si="94">E642</f>
        <v>M</v>
      </c>
      <c r="P642" s="60" t="str">
        <f t="shared" ref="P642:P705" si="95">D642</f>
        <v>CFA-M</v>
      </c>
      <c r="Q642" s="61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3">
      <c r="A643" s="28">
        <v>1158</v>
      </c>
      <c r="B643" s="28">
        <v>148353</v>
      </c>
      <c r="C643" s="129" t="s">
        <v>748</v>
      </c>
      <c r="D643" s="128" t="s">
        <v>736</v>
      </c>
      <c r="E643" s="128" t="s">
        <v>145</v>
      </c>
      <c r="F643" s="29">
        <v>36895</v>
      </c>
      <c r="G643" s="5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B",IF(YEAR(TODAY())-YEAR(F643)&lt;14,"Infantil",IF(YEAR(TODAY())-YEAR(F643)&lt;16,"Iniciado",IF(YEAR(TODAY())-YEAR(F643)&lt;18,"Juvenil",IF(YEAR(TODAY())-YEAR(F643)&lt;20,"Júnior",IF(YEAR(TODAY())-YEAR(F643)&lt;23,"sub 23",IF(ROUNDDOWN(INT(TODAY()-F643)/365.25,0)&lt;35,"Sénior",IF(ROUNDDOWN(INT(TODAY()-F643)/365.25,0)&lt;40,"V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65",IF(ROUNDDOWN(INT(TODAY()-F643)/365.25,0)&lt;75,"V 70",IF(ROUNDDOWN(INT(TODAY()-F643)/365.25,0)&lt;80,"V 75",IF(ROUNDDOWN(INT(TODAY()-F643)/365.25,0)&lt;85,"V 80",IF(ROUNDDOWN(INT(TODAY()-F643)/365.25,0)&lt;90,"V 85",IF(ROUNDDOWN(INT(TODAY()-F643)/365.25,0)&lt;95,"V 90",IF(ROUNDDOWN(INT(TODAY()-F643)/365.25,0)&lt;100,"V 95",IF(ROUNDDOWN(INT(TODAY()-F643)/365.25,0)&gt;=100,"V 100",""))))))))))))))))))))))),"")</f>
        <v>sub 23</v>
      </c>
      <c r="H643" s="28">
        <f t="shared" ref="H643:H706" ca="1" si="97">IFERROR(IF($A643&gt;0,ROUNDDOWN(INT(TODAY()-F643)/365.25,0),""),"")</f>
        <v>20</v>
      </c>
      <c r="J643" s="38" t="str">
        <f t="shared" si="91"/>
        <v>Diego Cisneros</v>
      </c>
      <c r="K643" s="39">
        <f t="shared" si="92"/>
        <v>1158</v>
      </c>
      <c r="L643" s="39">
        <f t="shared" si="93"/>
        <v>148353</v>
      </c>
      <c r="M643" s="40">
        <f t="shared" ref="M643:M706" si="98">F643</f>
        <v>36895</v>
      </c>
      <c r="N643" s="41" t="str">
        <f t="shared" ref="N643:N706" ca="1" si="99">G643</f>
        <v>sub 23</v>
      </c>
      <c r="O643" s="41" t="str">
        <f t="shared" si="94"/>
        <v>M</v>
      </c>
      <c r="P643" s="60" t="str">
        <f t="shared" si="95"/>
        <v>CFA-M</v>
      </c>
      <c r="Q643" s="61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3">
      <c r="A644" s="28">
        <v>158</v>
      </c>
      <c r="B644" s="28">
        <v>133904</v>
      </c>
      <c r="C644" s="129" t="s">
        <v>740</v>
      </c>
      <c r="D644" s="128" t="s">
        <v>736</v>
      </c>
      <c r="E644" s="128" t="s">
        <v>146</v>
      </c>
      <c r="F644" s="29">
        <v>24257</v>
      </c>
      <c r="G644" s="56" t="str">
        <f t="shared" ca="1" si="96"/>
        <v>V 50</v>
      </c>
      <c r="H644" s="28">
        <f t="shared" ca="1" si="97"/>
        <v>54</v>
      </c>
      <c r="J644" s="38" t="str">
        <f t="shared" si="91"/>
        <v>Iolanda Henriques</v>
      </c>
      <c r="K644" s="39">
        <f t="shared" si="92"/>
        <v>158</v>
      </c>
      <c r="L644" s="39">
        <f t="shared" si="93"/>
        <v>133904</v>
      </c>
      <c r="M644" s="40">
        <f t="shared" si="98"/>
        <v>24257</v>
      </c>
      <c r="N644" s="41" t="str">
        <f t="shared" ca="1" si="99"/>
        <v>V 50</v>
      </c>
      <c r="O644" s="41" t="str">
        <f t="shared" si="94"/>
        <v>F</v>
      </c>
      <c r="P644" s="60" t="str">
        <f t="shared" si="95"/>
        <v>CFA-M</v>
      </c>
      <c r="Q644" s="61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3">
      <c r="A645" s="28">
        <v>1566</v>
      </c>
      <c r="B645" s="28">
        <v>126465</v>
      </c>
      <c r="C645" s="129" t="s">
        <v>738</v>
      </c>
      <c r="D645" s="128" t="s">
        <v>736</v>
      </c>
      <c r="E645" s="128" t="s">
        <v>146</v>
      </c>
      <c r="F645" s="29">
        <v>37445</v>
      </c>
      <c r="G645" s="56" t="str">
        <f t="shared" ca="1" si="96"/>
        <v>Júnior</v>
      </c>
      <c r="H645" s="28">
        <f t="shared" ca="1" si="97"/>
        <v>18</v>
      </c>
      <c r="J645" s="38" t="str">
        <f t="shared" si="91"/>
        <v>Beatriz Henriques</v>
      </c>
      <c r="K645" s="39">
        <f t="shared" si="92"/>
        <v>1566</v>
      </c>
      <c r="L645" s="39">
        <f t="shared" si="93"/>
        <v>126465</v>
      </c>
      <c r="M645" s="40">
        <f t="shared" si="98"/>
        <v>37445</v>
      </c>
      <c r="N645" s="41" t="str">
        <f t="shared" ca="1" si="99"/>
        <v>Júnior</v>
      </c>
      <c r="O645" s="41" t="str">
        <f t="shared" si="94"/>
        <v>F</v>
      </c>
      <c r="P645" s="60" t="str">
        <f t="shared" si="95"/>
        <v>CFA-M</v>
      </c>
      <c r="Q645" s="61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3">
      <c r="A646" s="28">
        <v>1153</v>
      </c>
      <c r="B646" s="28">
        <v>154355</v>
      </c>
      <c r="C646" s="129" t="s">
        <v>966</v>
      </c>
      <c r="D646" s="128" t="s">
        <v>736</v>
      </c>
      <c r="E646" s="128" t="s">
        <v>145</v>
      </c>
      <c r="F646" s="29">
        <v>26330</v>
      </c>
      <c r="G646" s="56" t="str">
        <f t="shared" ca="1" si="96"/>
        <v>V 45</v>
      </c>
      <c r="H646" s="28">
        <f t="shared" ca="1" si="97"/>
        <v>49</v>
      </c>
      <c r="J646" s="38" t="str">
        <f t="shared" si="91"/>
        <v>António Silva</v>
      </c>
      <c r="K646" s="39">
        <f t="shared" si="92"/>
        <v>1153</v>
      </c>
      <c r="L646" s="39">
        <f t="shared" si="93"/>
        <v>154355</v>
      </c>
      <c r="M646" s="40">
        <f t="shared" si="98"/>
        <v>26330</v>
      </c>
      <c r="N646" s="41" t="str">
        <f t="shared" ca="1" si="99"/>
        <v>V 45</v>
      </c>
      <c r="O646" s="41" t="str">
        <f t="shared" si="94"/>
        <v>M</v>
      </c>
      <c r="P646" s="60" t="str">
        <f t="shared" si="95"/>
        <v>CFA-M</v>
      </c>
      <c r="Q646" s="61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3">
      <c r="A647" s="28">
        <v>2236</v>
      </c>
      <c r="B647" s="28">
        <v>157772</v>
      </c>
      <c r="C647" s="129" t="s">
        <v>1125</v>
      </c>
      <c r="D647" s="128" t="s">
        <v>531</v>
      </c>
      <c r="E647" s="128" t="s">
        <v>145</v>
      </c>
      <c r="F647" s="29">
        <v>41347</v>
      </c>
      <c r="G647" s="56" t="str">
        <f t="shared" ca="1" si="96"/>
        <v>Benjamim A</v>
      </c>
      <c r="H647" s="28">
        <f t="shared" ca="1" si="97"/>
        <v>8</v>
      </c>
      <c r="J647" s="38" t="str">
        <f t="shared" si="91"/>
        <v>David C. Silva</v>
      </c>
      <c r="K647" s="39">
        <f t="shared" si="92"/>
        <v>2236</v>
      </c>
      <c r="L647" s="39">
        <f t="shared" si="93"/>
        <v>157772</v>
      </c>
      <c r="M647" s="40">
        <f t="shared" si="98"/>
        <v>41347</v>
      </c>
      <c r="N647" s="41" t="str">
        <f t="shared" ca="1" si="99"/>
        <v>Benjamim A</v>
      </c>
      <c r="O647" s="41" t="str">
        <f t="shared" si="94"/>
        <v>M</v>
      </c>
      <c r="P647" s="60" t="str">
        <f t="shared" si="95"/>
        <v>CDMS</v>
      </c>
      <c r="Q647" s="61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3">
      <c r="A648" s="28">
        <v>1197</v>
      </c>
      <c r="B648" s="28">
        <v>162661</v>
      </c>
      <c r="C648" s="129" t="s">
        <v>1529</v>
      </c>
      <c r="D648" s="128" t="s">
        <v>531</v>
      </c>
      <c r="E648" s="128" t="s">
        <v>145</v>
      </c>
      <c r="F648" s="29">
        <v>32041</v>
      </c>
      <c r="G648" s="56" t="str">
        <f t="shared" ca="1" si="96"/>
        <v>Sénior</v>
      </c>
      <c r="H648" s="28">
        <f t="shared" ca="1" si="97"/>
        <v>33</v>
      </c>
      <c r="J648" s="38" t="str">
        <f t="shared" si="91"/>
        <v>Fábio C. Rodrigues</v>
      </c>
      <c r="K648" s="39">
        <f t="shared" si="92"/>
        <v>1197</v>
      </c>
      <c r="L648" s="39">
        <f t="shared" si="93"/>
        <v>162661</v>
      </c>
      <c r="M648" s="40">
        <f t="shared" si="98"/>
        <v>32041</v>
      </c>
      <c r="N648" s="41" t="str">
        <f t="shared" ca="1" si="99"/>
        <v>Sénior</v>
      </c>
      <c r="O648" s="41" t="str">
        <f t="shared" si="94"/>
        <v>M</v>
      </c>
      <c r="P648" s="60" t="str">
        <f t="shared" si="95"/>
        <v>CDMS</v>
      </c>
      <c r="Q648" s="61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3">
      <c r="A649" s="28">
        <v>1196</v>
      </c>
      <c r="B649" s="28">
        <v>163120</v>
      </c>
      <c r="C649" s="129" t="s">
        <v>1530</v>
      </c>
      <c r="D649" s="128" t="s">
        <v>531</v>
      </c>
      <c r="E649" s="128" t="s">
        <v>145</v>
      </c>
      <c r="F649" s="29">
        <v>33927</v>
      </c>
      <c r="G649" s="56" t="str">
        <f t="shared" ca="1" si="96"/>
        <v>Sénior</v>
      </c>
      <c r="H649" s="28">
        <f t="shared" ca="1" si="97"/>
        <v>28</v>
      </c>
      <c r="J649" s="38" t="str">
        <f t="shared" si="91"/>
        <v>Humberto Gomez</v>
      </c>
      <c r="K649" s="39">
        <f t="shared" si="92"/>
        <v>1196</v>
      </c>
      <c r="L649" s="39">
        <f t="shared" si="93"/>
        <v>163120</v>
      </c>
      <c r="M649" s="40">
        <f t="shared" si="98"/>
        <v>33927</v>
      </c>
      <c r="N649" s="41" t="str">
        <f t="shared" ca="1" si="99"/>
        <v>Sénior</v>
      </c>
      <c r="O649" s="41" t="str">
        <f t="shared" si="94"/>
        <v>M</v>
      </c>
      <c r="P649" s="60" t="str">
        <f t="shared" si="95"/>
        <v>CDMS</v>
      </c>
      <c r="Q649" s="61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3">
      <c r="A650" s="28">
        <v>1190</v>
      </c>
      <c r="B650" s="28">
        <v>140487</v>
      </c>
      <c r="C650" s="129" t="s">
        <v>1260</v>
      </c>
      <c r="D650" s="128" t="s">
        <v>531</v>
      </c>
      <c r="E650" s="128" t="s">
        <v>145</v>
      </c>
      <c r="F650" s="29">
        <v>26602</v>
      </c>
      <c r="G650" s="56" t="str">
        <f t="shared" ca="1" si="96"/>
        <v>V 45</v>
      </c>
      <c r="H650" s="28">
        <f t="shared" ca="1" si="97"/>
        <v>48</v>
      </c>
      <c r="J650" s="38" t="str">
        <f t="shared" si="91"/>
        <v>Jorge Silva</v>
      </c>
      <c r="K650" s="39">
        <f t="shared" si="92"/>
        <v>1190</v>
      </c>
      <c r="L650" s="39">
        <f t="shared" si="93"/>
        <v>140487</v>
      </c>
      <c r="M650" s="40">
        <f t="shared" si="98"/>
        <v>26602</v>
      </c>
      <c r="N650" s="41" t="str">
        <f t="shared" ca="1" si="99"/>
        <v>V 45</v>
      </c>
      <c r="O650" s="41" t="str">
        <f t="shared" si="94"/>
        <v>M</v>
      </c>
      <c r="P650" s="60" t="str">
        <f t="shared" si="95"/>
        <v>CDMS</v>
      </c>
      <c r="Q650" s="61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3">
      <c r="A651" s="28">
        <v>1195</v>
      </c>
      <c r="B651" s="28">
        <v>142555</v>
      </c>
      <c r="C651" s="129" t="s">
        <v>981</v>
      </c>
      <c r="D651" s="128" t="s">
        <v>531</v>
      </c>
      <c r="E651" s="128" t="s">
        <v>145</v>
      </c>
      <c r="F651" s="29">
        <v>28684</v>
      </c>
      <c r="G651" s="56" t="str">
        <f t="shared" ca="1" si="96"/>
        <v>V 40</v>
      </c>
      <c r="H651" s="28">
        <f t="shared" ca="1" si="97"/>
        <v>42</v>
      </c>
      <c r="J651" s="38" t="str">
        <f t="shared" si="91"/>
        <v>David Correia</v>
      </c>
      <c r="K651" s="39">
        <f t="shared" si="92"/>
        <v>1195</v>
      </c>
      <c r="L651" s="39">
        <f t="shared" si="93"/>
        <v>142555</v>
      </c>
      <c r="M651" s="40">
        <f t="shared" si="98"/>
        <v>28684</v>
      </c>
      <c r="N651" s="41" t="str">
        <f t="shared" ca="1" si="99"/>
        <v>V 40</v>
      </c>
      <c r="O651" s="41" t="str">
        <f t="shared" si="94"/>
        <v>M</v>
      </c>
      <c r="P651" s="60" t="str">
        <f t="shared" si="95"/>
        <v>CDMS</v>
      </c>
      <c r="Q651" s="6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3">
      <c r="A652" s="28">
        <v>1189</v>
      </c>
      <c r="B652" s="28">
        <v>161065</v>
      </c>
      <c r="C652" s="129" t="s">
        <v>1353</v>
      </c>
      <c r="D652" s="128" t="s">
        <v>531</v>
      </c>
      <c r="E652" s="128" t="s">
        <v>145</v>
      </c>
      <c r="F652" s="29">
        <v>27009</v>
      </c>
      <c r="G652" s="56" t="str">
        <f t="shared" ca="1" si="96"/>
        <v>V 45</v>
      </c>
      <c r="H652" s="28">
        <f t="shared" ca="1" si="97"/>
        <v>47</v>
      </c>
      <c r="J652" s="38" t="str">
        <f t="shared" si="91"/>
        <v>Francisco Costa</v>
      </c>
      <c r="K652" s="39">
        <f t="shared" si="92"/>
        <v>1189</v>
      </c>
      <c r="L652" s="39">
        <f t="shared" si="93"/>
        <v>161065</v>
      </c>
      <c r="M652" s="40">
        <f t="shared" si="98"/>
        <v>27009</v>
      </c>
      <c r="N652" s="41" t="str">
        <f t="shared" ca="1" si="99"/>
        <v>V 45</v>
      </c>
      <c r="O652" s="41" t="str">
        <f t="shared" si="94"/>
        <v>M</v>
      </c>
      <c r="P652" s="60" t="str">
        <f t="shared" si="95"/>
        <v>CDMS</v>
      </c>
      <c r="Q652" s="61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3">
      <c r="A653" s="28">
        <v>1194</v>
      </c>
      <c r="B653" s="28">
        <v>154218</v>
      </c>
      <c r="C653" s="129" t="s">
        <v>1263</v>
      </c>
      <c r="D653" s="128" t="s">
        <v>531</v>
      </c>
      <c r="E653" s="128" t="s">
        <v>145</v>
      </c>
      <c r="F653" s="29">
        <v>28187</v>
      </c>
      <c r="G653" s="56" t="str">
        <f t="shared" ca="1" si="96"/>
        <v>V 40</v>
      </c>
      <c r="H653" s="28">
        <f t="shared" ca="1" si="97"/>
        <v>44</v>
      </c>
      <c r="J653" s="38" t="str">
        <f t="shared" si="91"/>
        <v>Paulo Serra</v>
      </c>
      <c r="K653" s="39">
        <f t="shared" si="92"/>
        <v>1194</v>
      </c>
      <c r="L653" s="39">
        <f t="shared" si="93"/>
        <v>154218</v>
      </c>
      <c r="M653" s="40">
        <f t="shared" si="98"/>
        <v>28187</v>
      </c>
      <c r="N653" s="41" t="str">
        <f t="shared" ca="1" si="99"/>
        <v>V 40</v>
      </c>
      <c r="O653" s="41" t="str">
        <f t="shared" si="94"/>
        <v>M</v>
      </c>
      <c r="P653" s="60" t="str">
        <f t="shared" si="95"/>
        <v>CDMS</v>
      </c>
      <c r="Q653" s="61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3">
      <c r="A654" s="28">
        <v>1193</v>
      </c>
      <c r="B654" s="28">
        <v>142668</v>
      </c>
      <c r="C654" s="129" t="s">
        <v>1261</v>
      </c>
      <c r="D654" s="128" t="s">
        <v>531</v>
      </c>
      <c r="E654" s="128" t="s">
        <v>145</v>
      </c>
      <c r="F654" s="29">
        <v>29272</v>
      </c>
      <c r="G654" s="56" t="str">
        <f t="shared" ca="1" si="96"/>
        <v>V 40</v>
      </c>
      <c r="H654" s="28">
        <f t="shared" ca="1" si="97"/>
        <v>41</v>
      </c>
      <c r="J654" s="38" t="str">
        <f t="shared" si="91"/>
        <v>Hugo Nascimento</v>
      </c>
      <c r="K654" s="39">
        <f t="shared" si="92"/>
        <v>1193</v>
      </c>
      <c r="L654" s="39">
        <f t="shared" si="93"/>
        <v>142668</v>
      </c>
      <c r="M654" s="40">
        <f t="shared" si="98"/>
        <v>29272</v>
      </c>
      <c r="N654" s="41" t="str">
        <f t="shared" ca="1" si="99"/>
        <v>V 40</v>
      </c>
      <c r="O654" s="41" t="str">
        <f t="shared" si="94"/>
        <v>M</v>
      </c>
      <c r="P654" s="60" t="str">
        <f t="shared" si="95"/>
        <v>CDMS</v>
      </c>
      <c r="Q654" s="61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3">
      <c r="A655" s="28">
        <v>1192</v>
      </c>
      <c r="B655" s="28">
        <v>138445</v>
      </c>
      <c r="C655" s="129" t="s">
        <v>530</v>
      </c>
      <c r="D655" s="128" t="s">
        <v>531</v>
      </c>
      <c r="E655" s="128" t="s">
        <v>145</v>
      </c>
      <c r="F655" s="29">
        <v>28904</v>
      </c>
      <c r="G655" s="56" t="str">
        <f t="shared" ca="1" si="96"/>
        <v>V 40</v>
      </c>
      <c r="H655" s="28">
        <f t="shared" ca="1" si="97"/>
        <v>42</v>
      </c>
      <c r="J655" s="38" t="str">
        <f t="shared" si="91"/>
        <v>Juliano Silva</v>
      </c>
      <c r="K655" s="39">
        <f t="shared" si="92"/>
        <v>1192</v>
      </c>
      <c r="L655" s="39">
        <f t="shared" si="93"/>
        <v>138445</v>
      </c>
      <c r="M655" s="40">
        <f t="shared" si="98"/>
        <v>28904</v>
      </c>
      <c r="N655" s="41" t="str">
        <f t="shared" ca="1" si="99"/>
        <v>V 40</v>
      </c>
      <c r="O655" s="41" t="str">
        <f t="shared" si="94"/>
        <v>M</v>
      </c>
      <c r="P655" s="60" t="str">
        <f t="shared" si="95"/>
        <v>CDMS</v>
      </c>
      <c r="Q655" s="61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3">
      <c r="A656" s="28">
        <v>1191</v>
      </c>
      <c r="B656" s="28">
        <v>149037</v>
      </c>
      <c r="C656" s="129" t="s">
        <v>1262</v>
      </c>
      <c r="D656" s="128" t="s">
        <v>531</v>
      </c>
      <c r="E656" s="128" t="s">
        <v>145</v>
      </c>
      <c r="F656" s="29">
        <v>28626</v>
      </c>
      <c r="G656" s="56" t="str">
        <f t="shared" ca="1" si="96"/>
        <v>V 40</v>
      </c>
      <c r="H656" s="28">
        <f t="shared" ca="1" si="97"/>
        <v>42</v>
      </c>
      <c r="J656" s="38" t="str">
        <f t="shared" si="91"/>
        <v>Rogério Queirós</v>
      </c>
      <c r="K656" s="39">
        <f t="shared" si="92"/>
        <v>1191</v>
      </c>
      <c r="L656" s="39">
        <f t="shared" si="93"/>
        <v>149037</v>
      </c>
      <c r="M656" s="40">
        <f t="shared" si="98"/>
        <v>28626</v>
      </c>
      <c r="N656" s="41" t="str">
        <f t="shared" ca="1" si="99"/>
        <v>V 40</v>
      </c>
      <c r="O656" s="41" t="str">
        <f t="shared" si="94"/>
        <v>M</v>
      </c>
      <c r="P656" s="60" t="str">
        <f t="shared" si="95"/>
        <v>CDMS</v>
      </c>
      <c r="Q656" s="61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3">
      <c r="A657" s="28">
        <v>136</v>
      </c>
      <c r="B657" s="28">
        <v>151263</v>
      </c>
      <c r="C657" s="129" t="s">
        <v>1124</v>
      </c>
      <c r="D657" s="128" t="s">
        <v>531</v>
      </c>
      <c r="E657" s="128" t="s">
        <v>146</v>
      </c>
      <c r="F657" s="29">
        <v>28360</v>
      </c>
      <c r="G657" s="56" t="str">
        <f t="shared" ca="1" si="96"/>
        <v>V 40</v>
      </c>
      <c r="H657" s="28">
        <f t="shared" ca="1" si="97"/>
        <v>43</v>
      </c>
      <c r="J657" s="38" t="str">
        <f t="shared" si="91"/>
        <v>Lília Arsénio</v>
      </c>
      <c r="K657" s="39">
        <f t="shared" si="92"/>
        <v>136</v>
      </c>
      <c r="L657" s="39">
        <f t="shared" si="93"/>
        <v>151263</v>
      </c>
      <c r="M657" s="40">
        <f t="shared" si="98"/>
        <v>28360</v>
      </c>
      <c r="N657" s="41" t="str">
        <f t="shared" ca="1" si="99"/>
        <v>V 40</v>
      </c>
      <c r="O657" s="41" t="str">
        <f t="shared" si="94"/>
        <v>F</v>
      </c>
      <c r="P657" s="60" t="str">
        <f t="shared" si="95"/>
        <v>CDMS</v>
      </c>
      <c r="Q657" s="61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3">
      <c r="A658" s="28">
        <v>247</v>
      </c>
      <c r="B658" s="28">
        <v>140377</v>
      </c>
      <c r="C658" s="129" t="s">
        <v>458</v>
      </c>
      <c r="D658" s="128" t="s">
        <v>148</v>
      </c>
      <c r="E658" s="128" t="s">
        <v>146</v>
      </c>
      <c r="F658" s="29">
        <v>24446</v>
      </c>
      <c r="G658" s="56" t="str">
        <f t="shared" ca="1" si="96"/>
        <v>V 50</v>
      </c>
      <c r="H658" s="28">
        <f t="shared" ca="1" si="97"/>
        <v>54</v>
      </c>
      <c r="J658" s="38" t="str">
        <f t="shared" si="91"/>
        <v>Olívia Policarpo</v>
      </c>
      <c r="K658" s="39">
        <f t="shared" si="92"/>
        <v>247</v>
      </c>
      <c r="L658" s="39">
        <f t="shared" si="93"/>
        <v>140377</v>
      </c>
      <c r="M658" s="40">
        <f t="shared" si="98"/>
        <v>24446</v>
      </c>
      <c r="N658" s="41" t="str">
        <f t="shared" ca="1" si="99"/>
        <v>V 50</v>
      </c>
      <c r="O658" s="41" t="str">
        <f t="shared" si="94"/>
        <v>F</v>
      </c>
      <c r="P658" s="60" t="str">
        <f t="shared" si="95"/>
        <v>IND-M</v>
      </c>
      <c r="Q658" s="61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3">
      <c r="A659" s="28">
        <v>1045</v>
      </c>
      <c r="B659" s="28">
        <v>129931</v>
      </c>
      <c r="C659" s="129" t="s">
        <v>691</v>
      </c>
      <c r="D659" s="128" t="s">
        <v>161</v>
      </c>
      <c r="E659" s="128" t="s">
        <v>145</v>
      </c>
      <c r="F659" s="29">
        <v>23065</v>
      </c>
      <c r="G659" s="56" t="str">
        <f t="shared" ca="1" si="96"/>
        <v>V 55</v>
      </c>
      <c r="H659" s="28">
        <f t="shared" ca="1" si="97"/>
        <v>58</v>
      </c>
      <c r="J659" s="38" t="str">
        <f t="shared" si="91"/>
        <v>Pedro D. Fernandes</v>
      </c>
      <c r="K659" s="39">
        <f t="shared" si="92"/>
        <v>1045</v>
      </c>
      <c r="L659" s="39">
        <f t="shared" si="93"/>
        <v>129931</v>
      </c>
      <c r="M659" s="40">
        <f t="shared" si="98"/>
        <v>23065</v>
      </c>
      <c r="N659" s="41" t="str">
        <f t="shared" ca="1" si="99"/>
        <v>V 55</v>
      </c>
      <c r="O659" s="41" t="str">
        <f t="shared" si="94"/>
        <v>M</v>
      </c>
      <c r="P659" s="60" t="str">
        <f t="shared" si="95"/>
        <v>CPC-M</v>
      </c>
      <c r="Q659" s="61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3">
      <c r="A660" s="28">
        <v>193</v>
      </c>
      <c r="B660" s="28">
        <v>147020</v>
      </c>
      <c r="C660" s="129" t="s">
        <v>607</v>
      </c>
      <c r="D660" s="128" t="s">
        <v>161</v>
      </c>
      <c r="E660" s="128" t="s">
        <v>146</v>
      </c>
      <c r="F660" s="29">
        <v>27477</v>
      </c>
      <c r="G660" s="56" t="str">
        <f t="shared" ca="1" si="96"/>
        <v>V 45</v>
      </c>
      <c r="H660" s="28">
        <f t="shared" ca="1" si="97"/>
        <v>46</v>
      </c>
      <c r="J660" s="38" t="str">
        <f t="shared" si="91"/>
        <v>Michele Martins</v>
      </c>
      <c r="K660" s="39">
        <f t="shared" si="92"/>
        <v>193</v>
      </c>
      <c r="L660" s="39">
        <f t="shared" si="93"/>
        <v>147020</v>
      </c>
      <c r="M660" s="40">
        <f t="shared" si="98"/>
        <v>27477</v>
      </c>
      <c r="N660" s="41" t="str">
        <f t="shared" ca="1" si="99"/>
        <v>V 45</v>
      </c>
      <c r="O660" s="41" t="str">
        <f t="shared" si="94"/>
        <v>F</v>
      </c>
      <c r="P660" s="60" t="str">
        <f t="shared" si="95"/>
        <v>CPC-M</v>
      </c>
      <c r="Q660" s="61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3">
      <c r="A661" s="28">
        <v>195</v>
      </c>
      <c r="B661" s="28">
        <v>153369</v>
      </c>
      <c r="C661" s="129" t="s">
        <v>932</v>
      </c>
      <c r="D661" s="128" t="s">
        <v>161</v>
      </c>
      <c r="E661" s="128" t="s">
        <v>146</v>
      </c>
      <c r="F661" s="29">
        <v>21212</v>
      </c>
      <c r="G661" s="56" t="str">
        <f t="shared" ca="1" si="96"/>
        <v>V 60</v>
      </c>
      <c r="H661" s="28">
        <f t="shared" ca="1" si="97"/>
        <v>63</v>
      </c>
      <c r="J661" s="38" t="str">
        <f t="shared" si="91"/>
        <v>Angêlica Fernandes</v>
      </c>
      <c r="K661" s="39">
        <f t="shared" si="92"/>
        <v>195</v>
      </c>
      <c r="L661" s="39">
        <f t="shared" si="93"/>
        <v>153369</v>
      </c>
      <c r="M661" s="40">
        <f t="shared" si="98"/>
        <v>21212</v>
      </c>
      <c r="N661" s="41" t="str">
        <f t="shared" ca="1" si="99"/>
        <v>V 60</v>
      </c>
      <c r="O661" s="41" t="str">
        <f t="shared" si="94"/>
        <v>F</v>
      </c>
      <c r="P661" s="60" t="str">
        <f t="shared" si="95"/>
        <v>CPC-M</v>
      </c>
      <c r="Q661" s="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3">
      <c r="A662" s="28">
        <v>1057</v>
      </c>
      <c r="B662" s="28">
        <v>131307</v>
      </c>
      <c r="C662" s="129" t="s">
        <v>272</v>
      </c>
      <c r="D662" s="128" t="s">
        <v>161</v>
      </c>
      <c r="E662" s="128" t="s">
        <v>145</v>
      </c>
      <c r="F662" s="29">
        <v>29681</v>
      </c>
      <c r="G662" s="56" t="str">
        <f t="shared" ca="1" si="96"/>
        <v>V 40</v>
      </c>
      <c r="H662" s="28">
        <f t="shared" ca="1" si="97"/>
        <v>40</v>
      </c>
      <c r="J662" s="38" t="str">
        <f t="shared" si="91"/>
        <v>Renato Teixeira</v>
      </c>
      <c r="K662" s="39">
        <f t="shared" si="92"/>
        <v>1057</v>
      </c>
      <c r="L662" s="39">
        <f t="shared" si="93"/>
        <v>131307</v>
      </c>
      <c r="M662" s="40">
        <f t="shared" si="98"/>
        <v>29681</v>
      </c>
      <c r="N662" s="41" t="str">
        <f t="shared" ca="1" si="99"/>
        <v>V 40</v>
      </c>
      <c r="O662" s="41" t="str">
        <f t="shared" si="94"/>
        <v>M</v>
      </c>
      <c r="P662" s="60" t="str">
        <f t="shared" si="95"/>
        <v>CPC-M</v>
      </c>
      <c r="Q662" s="61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3">
      <c r="A663" s="28">
        <v>190</v>
      </c>
      <c r="B663" s="28">
        <v>153107</v>
      </c>
      <c r="C663" s="129" t="s">
        <v>858</v>
      </c>
      <c r="D663" s="128" t="s">
        <v>161</v>
      </c>
      <c r="E663" s="128" t="s">
        <v>146</v>
      </c>
      <c r="F663" s="29">
        <v>31802</v>
      </c>
      <c r="G663" s="56" t="str">
        <f t="shared" ca="1" si="96"/>
        <v>Sénior</v>
      </c>
      <c r="H663" s="28">
        <f t="shared" ca="1" si="97"/>
        <v>34</v>
      </c>
      <c r="J663" s="38" t="str">
        <f t="shared" si="91"/>
        <v>Sofia Fernandes</v>
      </c>
      <c r="K663" s="39">
        <f t="shared" si="92"/>
        <v>190</v>
      </c>
      <c r="L663" s="39">
        <f t="shared" si="93"/>
        <v>153107</v>
      </c>
      <c r="M663" s="40">
        <f t="shared" si="98"/>
        <v>31802</v>
      </c>
      <c r="N663" s="41" t="str">
        <f t="shared" ca="1" si="99"/>
        <v>Sénior</v>
      </c>
      <c r="O663" s="41" t="str">
        <f t="shared" si="94"/>
        <v>F</v>
      </c>
      <c r="P663" s="60" t="str">
        <f t="shared" si="95"/>
        <v>CPC-M</v>
      </c>
      <c r="Q663" s="61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3">
      <c r="A664" s="28">
        <v>1048</v>
      </c>
      <c r="B664" s="28">
        <v>129936</v>
      </c>
      <c r="C664" s="129" t="s">
        <v>683</v>
      </c>
      <c r="D664" s="128" t="s">
        <v>161</v>
      </c>
      <c r="E664" s="128" t="s">
        <v>145</v>
      </c>
      <c r="F664" s="29">
        <v>25631</v>
      </c>
      <c r="G664" s="56" t="str">
        <f t="shared" ca="1" si="96"/>
        <v>V 50</v>
      </c>
      <c r="H664" s="28">
        <f t="shared" ca="1" si="97"/>
        <v>51</v>
      </c>
      <c r="J664" s="38" t="str">
        <f t="shared" si="91"/>
        <v>Jaime Silva</v>
      </c>
      <c r="K664" s="39">
        <f t="shared" si="92"/>
        <v>1048</v>
      </c>
      <c r="L664" s="39">
        <f t="shared" si="93"/>
        <v>129936</v>
      </c>
      <c r="M664" s="40">
        <f t="shared" si="98"/>
        <v>25631</v>
      </c>
      <c r="N664" s="41" t="str">
        <f t="shared" ca="1" si="99"/>
        <v>V 50</v>
      </c>
      <c r="O664" s="41" t="str">
        <f t="shared" si="94"/>
        <v>M</v>
      </c>
      <c r="P664" s="60" t="str">
        <f t="shared" si="95"/>
        <v>CPC-M</v>
      </c>
      <c r="Q664" s="61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3">
      <c r="A665" s="28">
        <v>1047</v>
      </c>
      <c r="B665" s="28">
        <v>155955</v>
      </c>
      <c r="C665" s="129" t="s">
        <v>1340</v>
      </c>
      <c r="D665" s="128" t="s">
        <v>161</v>
      </c>
      <c r="E665" s="128" t="s">
        <v>145</v>
      </c>
      <c r="F665" s="29">
        <v>25503</v>
      </c>
      <c r="G665" s="56" t="str">
        <f t="shared" ca="1" si="96"/>
        <v>V 50</v>
      </c>
      <c r="H665" s="28">
        <f t="shared" ca="1" si="97"/>
        <v>51</v>
      </c>
      <c r="J665" s="38" t="str">
        <f t="shared" si="91"/>
        <v>Roberto Luís</v>
      </c>
      <c r="K665" s="39">
        <f t="shared" si="92"/>
        <v>1047</v>
      </c>
      <c r="L665" s="39">
        <f t="shared" si="93"/>
        <v>155955</v>
      </c>
      <c r="M665" s="40">
        <f t="shared" si="98"/>
        <v>25503</v>
      </c>
      <c r="N665" s="41" t="str">
        <f t="shared" ca="1" si="99"/>
        <v>V 50</v>
      </c>
      <c r="O665" s="41" t="str">
        <f t="shared" si="94"/>
        <v>M</v>
      </c>
      <c r="P665" s="60" t="str">
        <f t="shared" si="95"/>
        <v>CPC-M</v>
      </c>
      <c r="Q665" s="61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3">
      <c r="A666" s="28">
        <v>1044</v>
      </c>
      <c r="B666" s="28">
        <v>163545</v>
      </c>
      <c r="C666" s="129" t="s">
        <v>1602</v>
      </c>
      <c r="D666" s="128" t="s">
        <v>161</v>
      </c>
      <c r="E666" s="128" t="s">
        <v>145</v>
      </c>
      <c r="F666" s="29">
        <v>23553</v>
      </c>
      <c r="G666" s="56" t="str">
        <f t="shared" ca="1" si="96"/>
        <v>V 55</v>
      </c>
      <c r="H666" s="28">
        <f t="shared" ca="1" si="97"/>
        <v>56</v>
      </c>
      <c r="J666" s="38" t="str">
        <f t="shared" si="91"/>
        <v>José D. Nóbrega</v>
      </c>
      <c r="K666" s="39">
        <f t="shared" si="92"/>
        <v>1044</v>
      </c>
      <c r="L666" s="39">
        <f t="shared" si="93"/>
        <v>163545</v>
      </c>
      <c r="M666" s="40">
        <f t="shared" si="98"/>
        <v>23553</v>
      </c>
      <c r="N666" s="41" t="str">
        <f t="shared" ca="1" si="99"/>
        <v>V 55</v>
      </c>
      <c r="O666" s="41" t="str">
        <f t="shared" si="94"/>
        <v>M</v>
      </c>
      <c r="P666" s="60" t="str">
        <f t="shared" si="95"/>
        <v>CPC-M</v>
      </c>
      <c r="Q666" s="61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3">
      <c r="A667" s="28">
        <v>137</v>
      </c>
      <c r="B667" s="28">
        <v>151949</v>
      </c>
      <c r="C667" s="129" t="s">
        <v>822</v>
      </c>
      <c r="D667" s="128" t="s">
        <v>531</v>
      </c>
      <c r="E667" s="128" t="s">
        <v>146</v>
      </c>
      <c r="F667" s="29">
        <v>29093</v>
      </c>
      <c r="G667" s="56" t="str">
        <f t="shared" ca="1" si="96"/>
        <v>V 40</v>
      </c>
      <c r="H667" s="28">
        <f t="shared" ca="1" si="97"/>
        <v>41</v>
      </c>
      <c r="J667" s="38" t="str">
        <f t="shared" si="91"/>
        <v>Teresa Silva</v>
      </c>
      <c r="K667" s="39">
        <f t="shared" si="92"/>
        <v>137</v>
      </c>
      <c r="L667" s="39">
        <f t="shared" si="93"/>
        <v>151949</v>
      </c>
      <c r="M667" s="40">
        <f t="shared" si="98"/>
        <v>29093</v>
      </c>
      <c r="N667" s="41" t="str">
        <f t="shared" ca="1" si="99"/>
        <v>V 40</v>
      </c>
      <c r="O667" s="41" t="str">
        <f t="shared" si="94"/>
        <v>F</v>
      </c>
      <c r="P667" s="60" t="str">
        <f t="shared" si="95"/>
        <v>CDMS</v>
      </c>
      <c r="Q667" s="61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3">
      <c r="A668" s="28">
        <v>175</v>
      </c>
      <c r="B668" s="28">
        <v>139345</v>
      </c>
      <c r="C668" s="129" t="s">
        <v>1015</v>
      </c>
      <c r="D668" s="128" t="s">
        <v>150</v>
      </c>
      <c r="E668" s="128" t="s">
        <v>146</v>
      </c>
      <c r="F668" s="29">
        <v>24552</v>
      </c>
      <c r="G668" s="56" t="str">
        <f t="shared" ca="1" si="96"/>
        <v>V 50</v>
      </c>
      <c r="H668" s="28">
        <f t="shared" ca="1" si="97"/>
        <v>54</v>
      </c>
      <c r="J668" s="38" t="str">
        <f t="shared" si="91"/>
        <v>Nina Moura</v>
      </c>
      <c r="K668" s="39">
        <f t="shared" si="92"/>
        <v>175</v>
      </c>
      <c r="L668" s="39">
        <f t="shared" si="93"/>
        <v>139345</v>
      </c>
      <c r="M668" s="40">
        <f t="shared" si="98"/>
        <v>24552</v>
      </c>
      <c r="N668" s="41" t="str">
        <f t="shared" ca="1" si="99"/>
        <v>V 50</v>
      </c>
      <c r="O668" s="41" t="str">
        <f t="shared" si="94"/>
        <v>F</v>
      </c>
      <c r="P668" s="60" t="str">
        <f t="shared" si="95"/>
        <v>CMOF</v>
      </c>
      <c r="Q668" s="61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3">
      <c r="A669" s="28">
        <v>1130</v>
      </c>
      <c r="B669" s="28">
        <v>147504</v>
      </c>
      <c r="C669" s="129" t="s">
        <v>1329</v>
      </c>
      <c r="D669" s="128" t="s">
        <v>150</v>
      </c>
      <c r="E669" s="128" t="s">
        <v>145</v>
      </c>
      <c r="F669" s="29">
        <v>30953</v>
      </c>
      <c r="G669" s="56" t="str">
        <f t="shared" ca="1" si="96"/>
        <v>V 35</v>
      </c>
      <c r="H669" s="28">
        <f t="shared" ca="1" si="97"/>
        <v>36</v>
      </c>
      <c r="J669" s="38" t="str">
        <f t="shared" si="91"/>
        <v>João Marques</v>
      </c>
      <c r="K669" s="39">
        <f t="shared" si="92"/>
        <v>1130</v>
      </c>
      <c r="L669" s="39">
        <f t="shared" si="93"/>
        <v>147504</v>
      </c>
      <c r="M669" s="40">
        <f t="shared" si="98"/>
        <v>30953</v>
      </c>
      <c r="N669" s="41" t="str">
        <f t="shared" ca="1" si="99"/>
        <v>V 35</v>
      </c>
      <c r="O669" s="41" t="str">
        <f t="shared" si="94"/>
        <v>M</v>
      </c>
      <c r="P669" s="60" t="str">
        <f t="shared" si="95"/>
        <v>CMOF</v>
      </c>
      <c r="Q669" s="61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3">
      <c r="A670" s="28">
        <v>160</v>
      </c>
      <c r="B670" s="28">
        <v>154522</v>
      </c>
      <c r="C670" s="129" t="s">
        <v>1407</v>
      </c>
      <c r="D670" s="128" t="s">
        <v>150</v>
      </c>
      <c r="E670" s="128" t="s">
        <v>146</v>
      </c>
      <c r="F670" s="29">
        <v>33813</v>
      </c>
      <c r="G670" s="56" t="str">
        <f t="shared" ca="1" si="96"/>
        <v>Sénior</v>
      </c>
      <c r="H670" s="28">
        <f t="shared" ca="1" si="97"/>
        <v>28</v>
      </c>
      <c r="J670" s="38" t="str">
        <f t="shared" si="91"/>
        <v>Sofia Inácio</v>
      </c>
      <c r="K670" s="39">
        <f t="shared" si="92"/>
        <v>160</v>
      </c>
      <c r="L670" s="39">
        <f t="shared" si="93"/>
        <v>154522</v>
      </c>
      <c r="M670" s="40">
        <f t="shared" si="98"/>
        <v>33813</v>
      </c>
      <c r="N670" s="41" t="str">
        <f t="shared" ca="1" si="99"/>
        <v>Sénior</v>
      </c>
      <c r="O670" s="41" t="str">
        <f t="shared" si="94"/>
        <v>F</v>
      </c>
      <c r="P670" s="60" t="str">
        <f t="shared" si="95"/>
        <v>CMOF</v>
      </c>
      <c r="Q670" s="61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3">
      <c r="A671" s="28">
        <v>1129</v>
      </c>
      <c r="B671" s="28">
        <v>163555</v>
      </c>
      <c r="C671" s="129" t="s">
        <v>1471</v>
      </c>
      <c r="D671" s="128" t="s">
        <v>150</v>
      </c>
      <c r="E671" s="128" t="s">
        <v>145</v>
      </c>
      <c r="F671" s="29">
        <v>30292</v>
      </c>
      <c r="G671" s="56" t="str">
        <f t="shared" ca="1" si="96"/>
        <v>V 35</v>
      </c>
      <c r="H671" s="28">
        <f t="shared" ca="1" si="97"/>
        <v>38</v>
      </c>
      <c r="J671" s="38" t="str">
        <f t="shared" si="91"/>
        <v>Ricardo N. Ferreira</v>
      </c>
      <c r="K671" s="39">
        <f t="shared" si="92"/>
        <v>1129</v>
      </c>
      <c r="L671" s="39">
        <f t="shared" si="93"/>
        <v>163555</v>
      </c>
      <c r="M671" s="40">
        <f t="shared" si="98"/>
        <v>30292</v>
      </c>
      <c r="N671" s="41" t="str">
        <f t="shared" ca="1" si="99"/>
        <v>V 35</v>
      </c>
      <c r="O671" s="41" t="str">
        <f t="shared" si="94"/>
        <v>M</v>
      </c>
      <c r="P671" s="60" t="str">
        <f t="shared" si="95"/>
        <v>CMOF</v>
      </c>
      <c r="Q671" s="6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3">
      <c r="A672" s="28">
        <v>1137</v>
      </c>
      <c r="B672" s="28">
        <v>146888</v>
      </c>
      <c r="C672" s="129" t="s">
        <v>609</v>
      </c>
      <c r="D672" s="128" t="s">
        <v>150</v>
      </c>
      <c r="E672" s="128" t="s">
        <v>145</v>
      </c>
      <c r="F672" s="29">
        <v>33949</v>
      </c>
      <c r="G672" s="56" t="str">
        <f t="shared" ca="1" si="96"/>
        <v>Sénior</v>
      </c>
      <c r="H672" s="28">
        <f t="shared" ca="1" si="97"/>
        <v>28</v>
      </c>
      <c r="J672" s="38" t="str">
        <f t="shared" si="91"/>
        <v>Steven Martins</v>
      </c>
      <c r="K672" s="39">
        <f t="shared" si="92"/>
        <v>1137</v>
      </c>
      <c r="L672" s="39">
        <f t="shared" si="93"/>
        <v>146888</v>
      </c>
      <c r="M672" s="40">
        <f t="shared" si="98"/>
        <v>33949</v>
      </c>
      <c r="N672" s="41" t="str">
        <f t="shared" ca="1" si="99"/>
        <v>Sénior</v>
      </c>
      <c r="O672" s="41" t="str">
        <f t="shared" si="94"/>
        <v>M</v>
      </c>
      <c r="P672" s="60" t="str">
        <f t="shared" si="95"/>
        <v>CMOF</v>
      </c>
      <c r="Q672" s="61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3">
      <c r="A673" s="28">
        <v>1095</v>
      </c>
      <c r="B673" s="28">
        <v>146430</v>
      </c>
      <c r="C673" s="129" t="s">
        <v>917</v>
      </c>
      <c r="D673" s="128" t="s">
        <v>150</v>
      </c>
      <c r="E673" s="128" t="s">
        <v>145</v>
      </c>
      <c r="F673" s="29">
        <v>23607</v>
      </c>
      <c r="G673" s="56" t="str">
        <f t="shared" ca="1" si="96"/>
        <v>V 55</v>
      </c>
      <c r="H673" s="28">
        <f t="shared" ca="1" si="97"/>
        <v>56</v>
      </c>
      <c r="J673" s="38" t="str">
        <f t="shared" si="91"/>
        <v>Daniel Serrão</v>
      </c>
      <c r="K673" s="39">
        <f t="shared" si="92"/>
        <v>1095</v>
      </c>
      <c r="L673" s="39">
        <f t="shared" si="93"/>
        <v>146430</v>
      </c>
      <c r="M673" s="40">
        <f t="shared" si="98"/>
        <v>23607</v>
      </c>
      <c r="N673" s="41" t="str">
        <f t="shared" ca="1" si="99"/>
        <v>V 55</v>
      </c>
      <c r="O673" s="41" t="str">
        <f t="shared" si="94"/>
        <v>M</v>
      </c>
      <c r="P673" s="60" t="str">
        <f t="shared" si="95"/>
        <v>CMOF</v>
      </c>
      <c r="Q673" s="61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3">
      <c r="A674" s="28">
        <v>1121</v>
      </c>
      <c r="B674" s="28">
        <v>134916</v>
      </c>
      <c r="C674" s="129" t="s">
        <v>1399</v>
      </c>
      <c r="D674" s="128" t="s">
        <v>150</v>
      </c>
      <c r="E674" s="128" t="s">
        <v>145</v>
      </c>
      <c r="F674" s="29">
        <v>28772</v>
      </c>
      <c r="G674" s="56" t="str">
        <f t="shared" ca="1" si="96"/>
        <v>V 40</v>
      </c>
      <c r="H674" s="28">
        <f t="shared" ca="1" si="97"/>
        <v>42</v>
      </c>
      <c r="J674" s="38" t="str">
        <f t="shared" si="91"/>
        <v>Luís Vieira</v>
      </c>
      <c r="K674" s="39">
        <f t="shared" si="92"/>
        <v>1121</v>
      </c>
      <c r="L674" s="39">
        <f t="shared" si="93"/>
        <v>134916</v>
      </c>
      <c r="M674" s="40">
        <f t="shared" si="98"/>
        <v>28772</v>
      </c>
      <c r="N674" s="41" t="str">
        <f t="shared" ca="1" si="99"/>
        <v>V 40</v>
      </c>
      <c r="O674" s="41" t="str">
        <f t="shared" si="94"/>
        <v>M</v>
      </c>
      <c r="P674" s="60" t="str">
        <f t="shared" si="95"/>
        <v>CMOF</v>
      </c>
      <c r="Q674" s="61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3">
      <c r="A675" s="28">
        <v>1107</v>
      </c>
      <c r="B675" s="28">
        <v>126083</v>
      </c>
      <c r="C675" s="129" t="s">
        <v>267</v>
      </c>
      <c r="D675" s="128" t="s">
        <v>150</v>
      </c>
      <c r="E675" s="128" t="s">
        <v>145</v>
      </c>
      <c r="F675" s="29">
        <v>26516</v>
      </c>
      <c r="G675" s="56" t="str">
        <f t="shared" ca="1" si="96"/>
        <v>V 45</v>
      </c>
      <c r="H675" s="28">
        <f t="shared" ca="1" si="97"/>
        <v>48</v>
      </c>
      <c r="J675" s="38" t="str">
        <f t="shared" si="91"/>
        <v>Sérgio Perdigão</v>
      </c>
      <c r="K675" s="39">
        <f t="shared" si="92"/>
        <v>1107</v>
      </c>
      <c r="L675" s="39">
        <f t="shared" si="93"/>
        <v>126083</v>
      </c>
      <c r="M675" s="40">
        <f t="shared" si="98"/>
        <v>26516</v>
      </c>
      <c r="N675" s="41" t="str">
        <f t="shared" ca="1" si="99"/>
        <v>V 45</v>
      </c>
      <c r="O675" s="41" t="str">
        <f t="shared" si="94"/>
        <v>M</v>
      </c>
      <c r="P675" s="60" t="str">
        <f t="shared" si="95"/>
        <v>CMOF</v>
      </c>
      <c r="Q675" s="61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3">
      <c r="A676" s="28">
        <v>1120</v>
      </c>
      <c r="B676" s="28">
        <v>125816</v>
      </c>
      <c r="C676" s="129" t="s">
        <v>266</v>
      </c>
      <c r="D676" s="128" t="s">
        <v>150</v>
      </c>
      <c r="E676" s="128" t="s">
        <v>145</v>
      </c>
      <c r="F676" s="29">
        <v>28226</v>
      </c>
      <c r="G676" s="56" t="str">
        <f t="shared" ca="1" si="96"/>
        <v>V 40</v>
      </c>
      <c r="H676" s="28">
        <f t="shared" ca="1" si="97"/>
        <v>44</v>
      </c>
      <c r="J676" s="38" t="str">
        <f t="shared" si="91"/>
        <v>Rui Martins</v>
      </c>
      <c r="K676" s="39">
        <f t="shared" si="92"/>
        <v>1120</v>
      </c>
      <c r="L676" s="39">
        <f t="shared" si="93"/>
        <v>125816</v>
      </c>
      <c r="M676" s="40">
        <f t="shared" si="98"/>
        <v>28226</v>
      </c>
      <c r="N676" s="41" t="str">
        <f t="shared" ca="1" si="99"/>
        <v>V 40</v>
      </c>
      <c r="O676" s="41" t="str">
        <f t="shared" si="94"/>
        <v>M</v>
      </c>
      <c r="P676" s="60" t="str">
        <f t="shared" si="95"/>
        <v>CMOF</v>
      </c>
      <c r="Q676" s="61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3">
      <c r="A677" s="28">
        <v>1106</v>
      </c>
      <c r="B677" s="28">
        <v>126842</v>
      </c>
      <c r="C677" s="129" t="s">
        <v>265</v>
      </c>
      <c r="D677" s="128" t="s">
        <v>150</v>
      </c>
      <c r="E677" s="128" t="s">
        <v>145</v>
      </c>
      <c r="F677" s="29">
        <v>27681</v>
      </c>
      <c r="G677" s="56" t="str">
        <f t="shared" ca="1" si="96"/>
        <v>V 45</v>
      </c>
      <c r="H677" s="28">
        <f t="shared" ca="1" si="97"/>
        <v>45</v>
      </c>
      <c r="J677" s="38" t="str">
        <f t="shared" si="91"/>
        <v>Raúl Ribeiro</v>
      </c>
      <c r="K677" s="39">
        <f t="shared" si="92"/>
        <v>1106</v>
      </c>
      <c r="L677" s="39">
        <f t="shared" si="93"/>
        <v>126842</v>
      </c>
      <c r="M677" s="40">
        <f t="shared" si="98"/>
        <v>27681</v>
      </c>
      <c r="N677" s="41" t="str">
        <f t="shared" ca="1" si="99"/>
        <v>V 45</v>
      </c>
      <c r="O677" s="41" t="str">
        <f t="shared" si="94"/>
        <v>M</v>
      </c>
      <c r="P677" s="60" t="str">
        <f t="shared" si="95"/>
        <v>CMOF</v>
      </c>
      <c r="Q677" s="61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3">
      <c r="A678" s="28">
        <v>162</v>
      </c>
      <c r="B678" s="28">
        <v>161627</v>
      </c>
      <c r="C678" s="129" t="s">
        <v>1398</v>
      </c>
      <c r="D678" s="128" t="s">
        <v>150</v>
      </c>
      <c r="E678" s="128" t="s">
        <v>146</v>
      </c>
      <c r="F678" s="29">
        <v>28961</v>
      </c>
      <c r="G678" s="56" t="str">
        <f t="shared" ca="1" si="96"/>
        <v>V 40</v>
      </c>
      <c r="H678" s="28">
        <f t="shared" ca="1" si="97"/>
        <v>42</v>
      </c>
      <c r="J678" s="38" t="str">
        <f t="shared" si="91"/>
        <v>Célia Bairos</v>
      </c>
      <c r="K678" s="39">
        <f t="shared" si="92"/>
        <v>162</v>
      </c>
      <c r="L678" s="39">
        <f t="shared" si="93"/>
        <v>161627</v>
      </c>
      <c r="M678" s="40">
        <f t="shared" si="98"/>
        <v>28961</v>
      </c>
      <c r="N678" s="41" t="str">
        <f t="shared" ca="1" si="99"/>
        <v>V 40</v>
      </c>
      <c r="O678" s="41" t="str">
        <f t="shared" si="94"/>
        <v>F</v>
      </c>
      <c r="P678" s="60" t="str">
        <f t="shared" si="95"/>
        <v>CMOF</v>
      </c>
      <c r="Q678" s="61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3">
      <c r="A679" s="28">
        <v>1105</v>
      </c>
      <c r="B679" s="28">
        <v>127141</v>
      </c>
      <c r="C679" s="129" t="s">
        <v>263</v>
      </c>
      <c r="D679" s="128" t="s">
        <v>150</v>
      </c>
      <c r="E679" s="128" t="s">
        <v>145</v>
      </c>
      <c r="F679" s="29">
        <v>27573</v>
      </c>
      <c r="G679" s="56" t="str">
        <f t="shared" ca="1" si="96"/>
        <v>V 45</v>
      </c>
      <c r="H679" s="28">
        <f t="shared" ca="1" si="97"/>
        <v>45</v>
      </c>
      <c r="J679" s="38" t="str">
        <f t="shared" si="91"/>
        <v>Mário Freitas</v>
      </c>
      <c r="K679" s="39">
        <f t="shared" si="92"/>
        <v>1105</v>
      </c>
      <c r="L679" s="39">
        <f t="shared" si="93"/>
        <v>127141</v>
      </c>
      <c r="M679" s="40">
        <f t="shared" si="98"/>
        <v>27573</v>
      </c>
      <c r="N679" s="41" t="str">
        <f t="shared" ca="1" si="99"/>
        <v>V 45</v>
      </c>
      <c r="O679" s="41" t="str">
        <f t="shared" si="94"/>
        <v>M</v>
      </c>
      <c r="P679" s="60" t="str">
        <f t="shared" si="95"/>
        <v>CMOF</v>
      </c>
      <c r="Q679" s="61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3">
      <c r="A680" s="28">
        <v>1119</v>
      </c>
      <c r="B680" s="28">
        <v>139660</v>
      </c>
      <c r="C680" s="129" t="s">
        <v>538</v>
      </c>
      <c r="D680" s="128" t="s">
        <v>150</v>
      </c>
      <c r="E680" s="128" t="s">
        <v>145</v>
      </c>
      <c r="F680" s="29">
        <v>28622</v>
      </c>
      <c r="G680" s="56" t="str">
        <f t="shared" ca="1" si="96"/>
        <v>V 40</v>
      </c>
      <c r="H680" s="28">
        <f t="shared" ca="1" si="97"/>
        <v>42</v>
      </c>
      <c r="J680" s="38" t="str">
        <f t="shared" si="91"/>
        <v>Duarte Gil Pereira</v>
      </c>
      <c r="K680" s="39">
        <f t="shared" si="92"/>
        <v>1119</v>
      </c>
      <c r="L680" s="39">
        <f t="shared" si="93"/>
        <v>139660</v>
      </c>
      <c r="M680" s="40">
        <f t="shared" si="98"/>
        <v>28622</v>
      </c>
      <c r="N680" s="41" t="str">
        <f t="shared" ca="1" si="99"/>
        <v>V 40</v>
      </c>
      <c r="O680" s="41" t="str">
        <f t="shared" si="94"/>
        <v>M</v>
      </c>
      <c r="P680" s="60" t="str">
        <f t="shared" si="95"/>
        <v>CMOF</v>
      </c>
      <c r="Q680" s="61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3">
      <c r="A681" s="28">
        <v>1136</v>
      </c>
      <c r="B681" s="28">
        <v>146923</v>
      </c>
      <c r="C681" s="129" t="s">
        <v>1291</v>
      </c>
      <c r="D681" s="128" t="s">
        <v>150</v>
      </c>
      <c r="E681" s="128" t="s">
        <v>145</v>
      </c>
      <c r="F681" s="29">
        <v>33572</v>
      </c>
      <c r="G681" s="56" t="str">
        <f t="shared" ca="1" si="96"/>
        <v>Sénior</v>
      </c>
      <c r="H681" s="28">
        <f t="shared" ca="1" si="97"/>
        <v>29</v>
      </c>
      <c r="J681" s="38" t="str">
        <f t="shared" si="91"/>
        <v>Marco A. Marques</v>
      </c>
      <c r="K681" s="39">
        <f t="shared" si="92"/>
        <v>1136</v>
      </c>
      <c r="L681" s="39">
        <f t="shared" si="93"/>
        <v>146923</v>
      </c>
      <c r="M681" s="40">
        <f t="shared" si="98"/>
        <v>33572</v>
      </c>
      <c r="N681" s="41" t="str">
        <f t="shared" ca="1" si="99"/>
        <v>Sénior</v>
      </c>
      <c r="O681" s="41" t="str">
        <f t="shared" si="94"/>
        <v>M</v>
      </c>
      <c r="P681" s="60" t="str">
        <f t="shared" si="95"/>
        <v>CMOF</v>
      </c>
      <c r="Q681" s="6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3">
      <c r="A682" s="28">
        <v>1104</v>
      </c>
      <c r="B682" s="28">
        <v>126805</v>
      </c>
      <c r="C682" s="129" t="s">
        <v>1355</v>
      </c>
      <c r="D682" s="128" t="s">
        <v>150</v>
      </c>
      <c r="E682" s="128" t="s">
        <v>145</v>
      </c>
      <c r="F682" s="29">
        <v>27640</v>
      </c>
      <c r="G682" s="56" t="str">
        <f t="shared" ca="1" si="96"/>
        <v>V 45</v>
      </c>
      <c r="H682" s="28">
        <f t="shared" ca="1" si="97"/>
        <v>45</v>
      </c>
      <c r="J682" s="38" t="str">
        <f t="shared" si="91"/>
        <v>Honório Teixeira</v>
      </c>
      <c r="K682" s="39">
        <f t="shared" si="92"/>
        <v>1104</v>
      </c>
      <c r="L682" s="39">
        <f t="shared" si="93"/>
        <v>126805</v>
      </c>
      <c r="M682" s="40">
        <f t="shared" si="98"/>
        <v>27640</v>
      </c>
      <c r="N682" s="41" t="str">
        <f t="shared" ca="1" si="99"/>
        <v>V 45</v>
      </c>
      <c r="O682" s="41" t="str">
        <f t="shared" si="94"/>
        <v>M</v>
      </c>
      <c r="P682" s="60" t="str">
        <f t="shared" si="95"/>
        <v>CMOF</v>
      </c>
      <c r="Q682" s="61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3">
      <c r="A683" s="28">
        <v>1128</v>
      </c>
      <c r="B683" s="28">
        <v>124624</v>
      </c>
      <c r="C683" s="129" t="s">
        <v>142</v>
      </c>
      <c r="D683" s="128" t="s">
        <v>150</v>
      </c>
      <c r="E683" s="128" t="s">
        <v>145</v>
      </c>
      <c r="F683" s="29">
        <v>31106</v>
      </c>
      <c r="G683" s="56" t="str">
        <f t="shared" ca="1" si="96"/>
        <v>V 35</v>
      </c>
      <c r="H683" s="28">
        <f t="shared" ca="1" si="97"/>
        <v>36</v>
      </c>
      <c r="J683" s="38" t="str">
        <f t="shared" si="91"/>
        <v>Sérgio Jesus</v>
      </c>
      <c r="K683" s="39">
        <f t="shared" si="92"/>
        <v>1128</v>
      </c>
      <c r="L683" s="39">
        <f t="shared" si="93"/>
        <v>124624</v>
      </c>
      <c r="M683" s="40">
        <f t="shared" si="98"/>
        <v>31106</v>
      </c>
      <c r="N683" s="41" t="str">
        <f t="shared" ca="1" si="99"/>
        <v>V 35</v>
      </c>
      <c r="O683" s="41" t="str">
        <f t="shared" si="94"/>
        <v>M</v>
      </c>
      <c r="P683" s="60" t="str">
        <f t="shared" si="95"/>
        <v>CMOF</v>
      </c>
      <c r="Q683" s="61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3">
      <c r="A684" s="28">
        <v>1103</v>
      </c>
      <c r="B684" s="28">
        <v>126563</v>
      </c>
      <c r="C684" s="129" t="s">
        <v>876</v>
      </c>
      <c r="D684" s="128" t="s">
        <v>150</v>
      </c>
      <c r="E684" s="128" t="s">
        <v>145</v>
      </c>
      <c r="F684" s="29">
        <v>27449</v>
      </c>
      <c r="G684" s="56" t="str">
        <f t="shared" ca="1" si="96"/>
        <v>V 45</v>
      </c>
      <c r="H684" s="28">
        <f t="shared" ca="1" si="97"/>
        <v>46</v>
      </c>
      <c r="J684" s="38" t="str">
        <f t="shared" si="91"/>
        <v>Paulo Perdigão</v>
      </c>
      <c r="K684" s="39">
        <f t="shared" si="92"/>
        <v>1103</v>
      </c>
      <c r="L684" s="39">
        <f t="shared" si="93"/>
        <v>126563</v>
      </c>
      <c r="M684" s="40">
        <f t="shared" si="98"/>
        <v>27449</v>
      </c>
      <c r="N684" s="41" t="str">
        <f t="shared" ca="1" si="99"/>
        <v>V 45</v>
      </c>
      <c r="O684" s="41" t="str">
        <f t="shared" si="94"/>
        <v>M</v>
      </c>
      <c r="P684" s="60" t="str">
        <f t="shared" si="95"/>
        <v>CMOF</v>
      </c>
      <c r="Q684" s="61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3">
      <c r="A685" s="28">
        <v>1135</v>
      </c>
      <c r="B685" s="28">
        <v>159019</v>
      </c>
      <c r="C685" s="129" t="s">
        <v>1176</v>
      </c>
      <c r="D685" s="128" t="s">
        <v>150</v>
      </c>
      <c r="E685" s="128" t="s">
        <v>145</v>
      </c>
      <c r="F685" s="29">
        <v>31419</v>
      </c>
      <c r="G685" s="56" t="str">
        <f t="shared" ca="1" si="96"/>
        <v>V 35</v>
      </c>
      <c r="H685" s="28">
        <f t="shared" ca="1" si="97"/>
        <v>35</v>
      </c>
      <c r="J685" s="38" t="str">
        <f t="shared" si="91"/>
        <v>Luís Furtado</v>
      </c>
      <c r="K685" s="39">
        <f t="shared" si="92"/>
        <v>1135</v>
      </c>
      <c r="L685" s="39">
        <f t="shared" si="93"/>
        <v>159019</v>
      </c>
      <c r="M685" s="40">
        <f t="shared" si="98"/>
        <v>31419</v>
      </c>
      <c r="N685" s="41" t="str">
        <f t="shared" ca="1" si="99"/>
        <v>V 35</v>
      </c>
      <c r="O685" s="41" t="str">
        <f t="shared" si="94"/>
        <v>M</v>
      </c>
      <c r="P685" s="60" t="str">
        <f t="shared" si="95"/>
        <v>CMOF</v>
      </c>
      <c r="Q685" s="61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3">
      <c r="A686" s="28">
        <v>1118</v>
      </c>
      <c r="B686" s="28">
        <v>159336</v>
      </c>
      <c r="C686" s="129" t="s">
        <v>1177</v>
      </c>
      <c r="D686" s="128" t="s">
        <v>150</v>
      </c>
      <c r="E686" s="128" t="s">
        <v>145</v>
      </c>
      <c r="F686" s="29">
        <v>27927</v>
      </c>
      <c r="G686" s="56" t="str">
        <f t="shared" ca="1" si="96"/>
        <v>V 40</v>
      </c>
      <c r="H686" s="28">
        <f t="shared" ca="1" si="97"/>
        <v>44</v>
      </c>
      <c r="J686" s="38" t="str">
        <f t="shared" si="91"/>
        <v>Adriano Furtado</v>
      </c>
      <c r="K686" s="39">
        <f t="shared" si="92"/>
        <v>1118</v>
      </c>
      <c r="L686" s="39">
        <f t="shared" si="93"/>
        <v>159336</v>
      </c>
      <c r="M686" s="40">
        <f t="shared" si="98"/>
        <v>27927</v>
      </c>
      <c r="N686" s="41" t="str">
        <f t="shared" ca="1" si="99"/>
        <v>V 40</v>
      </c>
      <c r="O686" s="41" t="str">
        <f t="shared" si="94"/>
        <v>M</v>
      </c>
      <c r="P686" s="60" t="str">
        <f t="shared" si="95"/>
        <v>CMOF</v>
      </c>
      <c r="Q686" s="61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3">
      <c r="A687" s="28">
        <v>1131</v>
      </c>
      <c r="B687" s="28">
        <v>159384</v>
      </c>
      <c r="C687" s="129" t="s">
        <v>1178</v>
      </c>
      <c r="D687" s="128" t="s">
        <v>150</v>
      </c>
      <c r="E687" s="128" t="s">
        <v>145</v>
      </c>
      <c r="F687" s="29">
        <v>36858</v>
      </c>
      <c r="G687" s="56" t="str">
        <f t="shared" ca="1" si="96"/>
        <v>sub 23</v>
      </c>
      <c r="H687" s="28">
        <f t="shared" ca="1" si="97"/>
        <v>20</v>
      </c>
      <c r="J687" s="38" t="str">
        <f t="shared" si="91"/>
        <v>Francisco Furtado</v>
      </c>
      <c r="K687" s="39">
        <f t="shared" si="92"/>
        <v>1131</v>
      </c>
      <c r="L687" s="39">
        <f t="shared" si="93"/>
        <v>159384</v>
      </c>
      <c r="M687" s="40">
        <f t="shared" si="98"/>
        <v>36858</v>
      </c>
      <c r="N687" s="41" t="str">
        <f t="shared" ca="1" si="99"/>
        <v>sub 23</v>
      </c>
      <c r="O687" s="41" t="str">
        <f t="shared" si="94"/>
        <v>M</v>
      </c>
      <c r="P687" s="60" t="str">
        <f t="shared" si="95"/>
        <v>CMOF</v>
      </c>
      <c r="Q687" s="61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3">
      <c r="A688" s="28">
        <v>163</v>
      </c>
      <c r="B688" s="28">
        <v>158701</v>
      </c>
      <c r="C688" s="129" t="s">
        <v>1345</v>
      </c>
      <c r="D688" s="128" t="s">
        <v>150</v>
      </c>
      <c r="E688" s="128" t="s">
        <v>146</v>
      </c>
      <c r="F688" s="29">
        <v>28753</v>
      </c>
      <c r="G688" s="56" t="str">
        <f t="shared" ca="1" si="96"/>
        <v>V 40</v>
      </c>
      <c r="H688" s="28">
        <f t="shared" ca="1" si="97"/>
        <v>42</v>
      </c>
      <c r="J688" s="38" t="str">
        <f t="shared" si="91"/>
        <v>Isabel Gonçalves</v>
      </c>
      <c r="K688" s="39">
        <f t="shared" si="92"/>
        <v>163</v>
      </c>
      <c r="L688" s="39">
        <f t="shared" si="93"/>
        <v>158701</v>
      </c>
      <c r="M688" s="40">
        <f t="shared" si="98"/>
        <v>28753</v>
      </c>
      <c r="N688" s="41" t="str">
        <f t="shared" ca="1" si="99"/>
        <v>V 40</v>
      </c>
      <c r="O688" s="41" t="str">
        <f t="shared" si="94"/>
        <v>F</v>
      </c>
      <c r="P688" s="60" t="str">
        <f t="shared" si="95"/>
        <v>CMOF</v>
      </c>
      <c r="Q688" s="61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3">
      <c r="A689" s="28">
        <v>1094</v>
      </c>
      <c r="B689" s="28">
        <v>125759</v>
      </c>
      <c r="C689" s="129" t="s">
        <v>1290</v>
      </c>
      <c r="D689" s="128" t="s">
        <v>150</v>
      </c>
      <c r="E689" s="128" t="s">
        <v>145</v>
      </c>
      <c r="F689" s="29">
        <v>23837</v>
      </c>
      <c r="G689" s="56" t="str">
        <f t="shared" ca="1" si="96"/>
        <v>V 55</v>
      </c>
      <c r="H689" s="28">
        <f t="shared" ca="1" si="97"/>
        <v>56</v>
      </c>
      <c r="J689" s="38" t="str">
        <f t="shared" si="91"/>
        <v>Quintin Barry</v>
      </c>
      <c r="K689" s="39">
        <f t="shared" si="92"/>
        <v>1094</v>
      </c>
      <c r="L689" s="39">
        <f t="shared" si="93"/>
        <v>125759</v>
      </c>
      <c r="M689" s="40">
        <f t="shared" si="98"/>
        <v>23837</v>
      </c>
      <c r="N689" s="41" t="str">
        <f t="shared" ca="1" si="99"/>
        <v>V 55</v>
      </c>
      <c r="O689" s="41" t="str">
        <f t="shared" si="94"/>
        <v>M</v>
      </c>
      <c r="P689" s="60" t="str">
        <f t="shared" si="95"/>
        <v>CMOF</v>
      </c>
      <c r="Q689" s="61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3">
      <c r="A690" s="28">
        <v>1090</v>
      </c>
      <c r="B690" s="28">
        <v>141751</v>
      </c>
      <c r="C690" s="129" t="s">
        <v>1289</v>
      </c>
      <c r="D690" s="128" t="s">
        <v>150</v>
      </c>
      <c r="E690" s="128" t="s">
        <v>145</v>
      </c>
      <c r="F690" s="29">
        <v>22085</v>
      </c>
      <c r="G690" s="56" t="str">
        <f t="shared" ca="1" si="96"/>
        <v>V 60</v>
      </c>
      <c r="H690" s="28">
        <f t="shared" ca="1" si="97"/>
        <v>60</v>
      </c>
      <c r="J690" s="38" t="str">
        <f t="shared" si="91"/>
        <v>Jorge Casaca</v>
      </c>
      <c r="K690" s="39">
        <f t="shared" si="92"/>
        <v>1090</v>
      </c>
      <c r="L690" s="39">
        <f t="shared" si="93"/>
        <v>141751</v>
      </c>
      <c r="M690" s="40">
        <f t="shared" si="98"/>
        <v>22085</v>
      </c>
      <c r="N690" s="41" t="str">
        <f t="shared" ca="1" si="99"/>
        <v>V 60</v>
      </c>
      <c r="O690" s="41" t="str">
        <f t="shared" si="94"/>
        <v>M</v>
      </c>
      <c r="P690" s="60" t="str">
        <f t="shared" si="95"/>
        <v>CMOF</v>
      </c>
      <c r="Q690" s="61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3">
      <c r="A691" s="28">
        <v>1098</v>
      </c>
      <c r="B691" s="28">
        <v>127978</v>
      </c>
      <c r="C691" s="129" t="s">
        <v>264</v>
      </c>
      <c r="D691" s="128" t="s">
        <v>150</v>
      </c>
      <c r="E691" s="128" t="s">
        <v>145</v>
      </c>
      <c r="F691" s="29">
        <v>25251</v>
      </c>
      <c r="G691" s="56" t="str">
        <f t="shared" ca="1" si="96"/>
        <v>V 50</v>
      </c>
      <c r="H691" s="28">
        <f t="shared" ca="1" si="97"/>
        <v>52</v>
      </c>
      <c r="J691" s="38" t="str">
        <f t="shared" si="91"/>
        <v>Paulo Milheiro</v>
      </c>
      <c r="K691" s="39">
        <f t="shared" si="92"/>
        <v>1098</v>
      </c>
      <c r="L691" s="39">
        <f t="shared" si="93"/>
        <v>127978</v>
      </c>
      <c r="M691" s="40">
        <f t="shared" si="98"/>
        <v>25251</v>
      </c>
      <c r="N691" s="41" t="str">
        <f t="shared" ca="1" si="99"/>
        <v>V 50</v>
      </c>
      <c r="O691" s="41" t="str">
        <f t="shared" si="94"/>
        <v>M</v>
      </c>
      <c r="P691" s="60" t="str">
        <f t="shared" si="95"/>
        <v>CMOF</v>
      </c>
      <c r="Q691" s="6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3">
      <c r="A692" s="28">
        <v>1102</v>
      </c>
      <c r="B692" s="28">
        <v>126566</v>
      </c>
      <c r="C692" s="129" t="s">
        <v>1330</v>
      </c>
      <c r="D692" s="128" t="s">
        <v>150</v>
      </c>
      <c r="E692" s="128" t="s">
        <v>145</v>
      </c>
      <c r="F692" s="29">
        <v>27031</v>
      </c>
      <c r="G692" s="56" t="str">
        <f t="shared" ca="1" si="96"/>
        <v>V 45</v>
      </c>
      <c r="H692" s="28">
        <f t="shared" ca="1" si="97"/>
        <v>47</v>
      </c>
      <c r="J692" s="38" t="str">
        <f t="shared" si="91"/>
        <v>Paulo Rodrigues</v>
      </c>
      <c r="K692" s="39">
        <f t="shared" si="92"/>
        <v>1102</v>
      </c>
      <c r="L692" s="39">
        <f t="shared" si="93"/>
        <v>126566</v>
      </c>
      <c r="M692" s="40">
        <f t="shared" si="98"/>
        <v>27031</v>
      </c>
      <c r="N692" s="41" t="str">
        <f t="shared" ca="1" si="99"/>
        <v>V 45</v>
      </c>
      <c r="O692" s="41" t="str">
        <f t="shared" si="94"/>
        <v>M</v>
      </c>
      <c r="P692" s="60" t="str">
        <f t="shared" si="95"/>
        <v>CMOF</v>
      </c>
      <c r="Q692" s="61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3">
      <c r="A693" s="28">
        <v>164</v>
      </c>
      <c r="B693" s="28">
        <v>155276</v>
      </c>
      <c r="C693" s="129" t="s">
        <v>1286</v>
      </c>
      <c r="D693" s="128" t="s">
        <v>150</v>
      </c>
      <c r="E693" s="128" t="s">
        <v>146</v>
      </c>
      <c r="F693" s="29">
        <v>29246</v>
      </c>
      <c r="G693" s="56" t="str">
        <f t="shared" ca="1" si="96"/>
        <v>V 40</v>
      </c>
      <c r="H693" s="28">
        <f t="shared" ca="1" si="97"/>
        <v>41</v>
      </c>
      <c r="J693" s="38" t="str">
        <f t="shared" si="91"/>
        <v>M. Sofia Santos</v>
      </c>
      <c r="K693" s="39">
        <f t="shared" si="92"/>
        <v>164</v>
      </c>
      <c r="L693" s="39">
        <f t="shared" si="93"/>
        <v>155276</v>
      </c>
      <c r="M693" s="40">
        <f t="shared" si="98"/>
        <v>29246</v>
      </c>
      <c r="N693" s="41" t="str">
        <f t="shared" ca="1" si="99"/>
        <v>V 40</v>
      </c>
      <c r="O693" s="41" t="str">
        <f t="shared" si="94"/>
        <v>F</v>
      </c>
      <c r="P693" s="60" t="str">
        <f t="shared" si="95"/>
        <v>CMOF</v>
      </c>
      <c r="Q693" s="61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3">
      <c r="A694" s="28">
        <v>1117</v>
      </c>
      <c r="B694" s="28">
        <v>126077</v>
      </c>
      <c r="C694" s="129" t="s">
        <v>262</v>
      </c>
      <c r="D694" s="128" t="s">
        <v>150</v>
      </c>
      <c r="E694" s="128" t="s">
        <v>145</v>
      </c>
      <c r="F694" s="29">
        <v>28686</v>
      </c>
      <c r="G694" s="56" t="str">
        <f t="shared" ca="1" si="96"/>
        <v>V 40</v>
      </c>
      <c r="H694" s="28">
        <f t="shared" ca="1" si="97"/>
        <v>42</v>
      </c>
      <c r="J694" s="38" t="str">
        <f t="shared" si="91"/>
        <v>Marco Vieira</v>
      </c>
      <c r="K694" s="39">
        <f t="shared" si="92"/>
        <v>1117</v>
      </c>
      <c r="L694" s="39">
        <f t="shared" si="93"/>
        <v>126077</v>
      </c>
      <c r="M694" s="40">
        <f t="shared" si="98"/>
        <v>28686</v>
      </c>
      <c r="N694" s="41" t="str">
        <f t="shared" ca="1" si="99"/>
        <v>V 40</v>
      </c>
      <c r="O694" s="41" t="str">
        <f t="shared" si="94"/>
        <v>M</v>
      </c>
      <c r="P694" s="60" t="str">
        <f t="shared" si="95"/>
        <v>CMOF</v>
      </c>
      <c r="Q694" s="61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3">
      <c r="A695" s="28">
        <v>165</v>
      </c>
      <c r="B695" s="28">
        <v>129726</v>
      </c>
      <c r="C695" s="129" t="s">
        <v>1284</v>
      </c>
      <c r="D695" s="128" t="s">
        <v>150</v>
      </c>
      <c r="E695" s="128" t="s">
        <v>146</v>
      </c>
      <c r="F695" s="29">
        <v>29219</v>
      </c>
      <c r="G695" s="56" t="str">
        <f t="shared" ca="1" si="96"/>
        <v>V 40</v>
      </c>
      <c r="H695" s="28">
        <f t="shared" ca="1" si="97"/>
        <v>41</v>
      </c>
      <c r="J695" s="38" t="str">
        <f t="shared" si="91"/>
        <v>Neide Vieira</v>
      </c>
      <c r="K695" s="39">
        <f t="shared" si="92"/>
        <v>165</v>
      </c>
      <c r="L695" s="39">
        <f t="shared" si="93"/>
        <v>129726</v>
      </c>
      <c r="M695" s="40">
        <f t="shared" si="98"/>
        <v>29219</v>
      </c>
      <c r="N695" s="41" t="str">
        <f t="shared" ca="1" si="99"/>
        <v>V 40</v>
      </c>
      <c r="O695" s="41" t="str">
        <f t="shared" si="94"/>
        <v>F</v>
      </c>
      <c r="P695" s="60" t="str">
        <f t="shared" si="95"/>
        <v>CMOF</v>
      </c>
      <c r="Q695" s="61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3">
      <c r="A696" s="28">
        <v>171</v>
      </c>
      <c r="B696" s="28">
        <v>158652</v>
      </c>
      <c r="C696" s="129" t="s">
        <v>1171</v>
      </c>
      <c r="D696" s="128" t="s">
        <v>150</v>
      </c>
      <c r="E696" s="128" t="s">
        <v>146</v>
      </c>
      <c r="F696" s="29">
        <v>27143</v>
      </c>
      <c r="G696" s="56" t="str">
        <f t="shared" ca="1" si="96"/>
        <v>V 45</v>
      </c>
      <c r="H696" s="28">
        <f t="shared" ca="1" si="97"/>
        <v>46</v>
      </c>
      <c r="J696" s="38" t="str">
        <f t="shared" si="91"/>
        <v>Dina Aveiro</v>
      </c>
      <c r="K696" s="39">
        <f t="shared" si="92"/>
        <v>171</v>
      </c>
      <c r="L696" s="39">
        <f t="shared" si="93"/>
        <v>158652</v>
      </c>
      <c r="M696" s="40">
        <f t="shared" si="98"/>
        <v>27143</v>
      </c>
      <c r="N696" s="41" t="str">
        <f t="shared" ca="1" si="99"/>
        <v>V 45</v>
      </c>
      <c r="O696" s="41" t="str">
        <f t="shared" si="94"/>
        <v>F</v>
      </c>
      <c r="P696" s="60" t="str">
        <f t="shared" si="95"/>
        <v>CMOF</v>
      </c>
      <c r="Q696" s="61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3">
      <c r="A697" s="28">
        <v>1097</v>
      </c>
      <c r="B697" s="28">
        <v>128306</v>
      </c>
      <c r="C697" s="129" t="s">
        <v>527</v>
      </c>
      <c r="D697" s="128" t="s">
        <v>150</v>
      </c>
      <c r="E697" s="128" t="s">
        <v>145</v>
      </c>
      <c r="F697" s="29">
        <v>25261</v>
      </c>
      <c r="G697" s="56" t="str">
        <f t="shared" ca="1" si="96"/>
        <v>V 50</v>
      </c>
      <c r="H697" s="28">
        <f t="shared" ca="1" si="97"/>
        <v>52</v>
      </c>
      <c r="J697" s="38" t="str">
        <f t="shared" si="91"/>
        <v>Ricardo Baptista</v>
      </c>
      <c r="K697" s="39">
        <f t="shared" si="92"/>
        <v>1097</v>
      </c>
      <c r="L697" s="39">
        <f t="shared" si="93"/>
        <v>128306</v>
      </c>
      <c r="M697" s="40">
        <f t="shared" si="98"/>
        <v>25261</v>
      </c>
      <c r="N697" s="41" t="str">
        <f t="shared" ca="1" si="99"/>
        <v>V 50</v>
      </c>
      <c r="O697" s="41" t="str">
        <f t="shared" si="94"/>
        <v>M</v>
      </c>
      <c r="P697" s="60" t="str">
        <f t="shared" si="95"/>
        <v>CMOF</v>
      </c>
      <c r="Q697" s="61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3">
      <c r="A698" s="28">
        <v>1134</v>
      </c>
      <c r="B698" s="28">
        <v>126681</v>
      </c>
      <c r="C698" s="129" t="s">
        <v>608</v>
      </c>
      <c r="D698" s="128" t="s">
        <v>150</v>
      </c>
      <c r="E698" s="128" t="s">
        <v>145</v>
      </c>
      <c r="F698" s="29">
        <v>33497</v>
      </c>
      <c r="G698" s="56" t="str">
        <f t="shared" ca="1" si="96"/>
        <v>Sénior</v>
      </c>
      <c r="H698" s="28">
        <f t="shared" ca="1" si="97"/>
        <v>29</v>
      </c>
      <c r="J698" s="38" t="str">
        <f t="shared" si="91"/>
        <v>Vítor F. Jesus</v>
      </c>
      <c r="K698" s="39">
        <f t="shared" si="92"/>
        <v>1134</v>
      </c>
      <c r="L698" s="39">
        <f t="shared" si="93"/>
        <v>126681</v>
      </c>
      <c r="M698" s="40">
        <f t="shared" si="98"/>
        <v>33497</v>
      </c>
      <c r="N698" s="41" t="str">
        <f t="shared" ca="1" si="99"/>
        <v>Sénior</v>
      </c>
      <c r="O698" s="41" t="str">
        <f t="shared" si="94"/>
        <v>M</v>
      </c>
      <c r="P698" s="60" t="str">
        <f t="shared" si="95"/>
        <v>CMOF</v>
      </c>
      <c r="Q698" s="61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3">
      <c r="A699" s="28">
        <v>172</v>
      </c>
      <c r="B699" s="28">
        <v>135383</v>
      </c>
      <c r="C699" s="129" t="s">
        <v>965</v>
      </c>
      <c r="D699" s="128" t="s">
        <v>150</v>
      </c>
      <c r="E699" s="128" t="s">
        <v>146</v>
      </c>
      <c r="F699" s="29">
        <v>26432</v>
      </c>
      <c r="G699" s="56" t="str">
        <f t="shared" ca="1" si="96"/>
        <v>V 45</v>
      </c>
      <c r="H699" s="28">
        <f t="shared" ca="1" si="97"/>
        <v>48</v>
      </c>
      <c r="J699" s="38" t="str">
        <f t="shared" si="91"/>
        <v>Nivalda Perdigão</v>
      </c>
      <c r="K699" s="39">
        <f t="shared" si="92"/>
        <v>172</v>
      </c>
      <c r="L699" s="39">
        <f t="shared" si="93"/>
        <v>135383</v>
      </c>
      <c r="M699" s="40">
        <f t="shared" si="98"/>
        <v>26432</v>
      </c>
      <c r="N699" s="41" t="str">
        <f t="shared" ca="1" si="99"/>
        <v>V 45</v>
      </c>
      <c r="O699" s="41" t="str">
        <f t="shared" si="94"/>
        <v>F</v>
      </c>
      <c r="P699" s="60" t="str">
        <f t="shared" si="95"/>
        <v>CMOF</v>
      </c>
      <c r="Q699" s="61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3">
      <c r="A700" s="28">
        <v>1101</v>
      </c>
      <c r="B700" s="28">
        <v>140688</v>
      </c>
      <c r="C700" s="129" t="s">
        <v>471</v>
      </c>
      <c r="D700" s="128" t="s">
        <v>150</v>
      </c>
      <c r="E700" s="128" t="s">
        <v>145</v>
      </c>
      <c r="F700" s="29">
        <v>26888</v>
      </c>
      <c r="G700" s="56" t="str">
        <f t="shared" ca="1" si="96"/>
        <v>V 45</v>
      </c>
      <c r="H700" s="28">
        <f t="shared" ca="1" si="97"/>
        <v>47</v>
      </c>
      <c r="J700" s="38" t="str">
        <f t="shared" si="91"/>
        <v>Sidónio Freitas</v>
      </c>
      <c r="K700" s="39">
        <f t="shared" si="92"/>
        <v>1101</v>
      </c>
      <c r="L700" s="39">
        <f t="shared" si="93"/>
        <v>140688</v>
      </c>
      <c r="M700" s="40">
        <f t="shared" si="98"/>
        <v>26888</v>
      </c>
      <c r="N700" s="41" t="str">
        <f t="shared" ca="1" si="99"/>
        <v>V 45</v>
      </c>
      <c r="O700" s="41" t="str">
        <f t="shared" si="94"/>
        <v>M</v>
      </c>
      <c r="P700" s="60" t="str">
        <f t="shared" si="95"/>
        <v>CMOF</v>
      </c>
      <c r="Q700" s="61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3">
      <c r="A701" s="28">
        <v>1116</v>
      </c>
      <c r="B701" s="28">
        <v>128669</v>
      </c>
      <c r="C701" s="129" t="s">
        <v>390</v>
      </c>
      <c r="D701" s="128" t="s">
        <v>150</v>
      </c>
      <c r="E701" s="128" t="s">
        <v>145</v>
      </c>
      <c r="F701" s="29">
        <v>28162</v>
      </c>
      <c r="G701" s="56" t="str">
        <f t="shared" ca="1" si="96"/>
        <v>V 40</v>
      </c>
      <c r="H701" s="28">
        <f t="shared" ca="1" si="97"/>
        <v>44</v>
      </c>
      <c r="J701" s="38" t="str">
        <f t="shared" si="91"/>
        <v>Cláudio Jesus</v>
      </c>
      <c r="K701" s="39">
        <f t="shared" si="92"/>
        <v>1116</v>
      </c>
      <c r="L701" s="39">
        <f t="shared" si="93"/>
        <v>128669</v>
      </c>
      <c r="M701" s="40">
        <f t="shared" si="98"/>
        <v>28162</v>
      </c>
      <c r="N701" s="41" t="str">
        <f t="shared" ca="1" si="99"/>
        <v>V 40</v>
      </c>
      <c r="O701" s="41" t="str">
        <f t="shared" si="94"/>
        <v>M</v>
      </c>
      <c r="P701" s="60" t="str">
        <f t="shared" si="95"/>
        <v>CMOF</v>
      </c>
      <c r="Q701" s="6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3">
      <c r="A702" s="28">
        <v>2233</v>
      </c>
      <c r="B702" s="28">
        <v>146121</v>
      </c>
      <c r="C702" s="129" t="s">
        <v>1153</v>
      </c>
      <c r="D702" s="128" t="s">
        <v>150</v>
      </c>
      <c r="E702" s="128" t="s">
        <v>145</v>
      </c>
      <c r="F702" s="29">
        <v>40506</v>
      </c>
      <c r="G702" s="56" t="str">
        <f t="shared" ca="1" si="96"/>
        <v>Benjamim B</v>
      </c>
      <c r="H702" s="28">
        <f t="shared" ca="1" si="97"/>
        <v>10</v>
      </c>
      <c r="J702" s="38" t="str">
        <f t="shared" si="91"/>
        <v>Lourenço Jesus</v>
      </c>
      <c r="K702" s="39">
        <f t="shared" si="92"/>
        <v>2233</v>
      </c>
      <c r="L702" s="39">
        <f t="shared" si="93"/>
        <v>146121</v>
      </c>
      <c r="M702" s="40">
        <f t="shared" si="98"/>
        <v>40506</v>
      </c>
      <c r="N702" s="41" t="str">
        <f t="shared" ca="1" si="99"/>
        <v>Benjamim B</v>
      </c>
      <c r="O702" s="41" t="str">
        <f t="shared" si="94"/>
        <v>M</v>
      </c>
      <c r="P702" s="60" t="str">
        <f t="shared" si="95"/>
        <v>CMOF</v>
      </c>
      <c r="Q702" s="61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3">
      <c r="A703" s="28">
        <v>166</v>
      </c>
      <c r="B703" s="28">
        <v>128640</v>
      </c>
      <c r="C703" s="129" t="s">
        <v>411</v>
      </c>
      <c r="D703" s="128" t="s">
        <v>150</v>
      </c>
      <c r="E703" s="128" t="s">
        <v>146</v>
      </c>
      <c r="F703" s="29">
        <v>27950</v>
      </c>
      <c r="G703" s="56" t="str">
        <f t="shared" ca="1" si="96"/>
        <v>V 40</v>
      </c>
      <c r="H703" s="28">
        <f t="shared" ca="1" si="97"/>
        <v>44</v>
      </c>
      <c r="J703" s="38" t="str">
        <f t="shared" si="91"/>
        <v>Tânia Gaspar</v>
      </c>
      <c r="K703" s="39">
        <f t="shared" si="92"/>
        <v>166</v>
      </c>
      <c r="L703" s="39">
        <f t="shared" si="93"/>
        <v>128640</v>
      </c>
      <c r="M703" s="40">
        <f t="shared" si="98"/>
        <v>27950</v>
      </c>
      <c r="N703" s="41" t="str">
        <f t="shared" ca="1" si="99"/>
        <v>V 40</v>
      </c>
      <c r="O703" s="41" t="str">
        <f t="shared" si="94"/>
        <v>F</v>
      </c>
      <c r="P703" s="60" t="str">
        <f t="shared" si="95"/>
        <v>CMOF</v>
      </c>
      <c r="Q703" s="61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3">
      <c r="A704" s="28">
        <v>1115</v>
      </c>
      <c r="B704" s="28">
        <v>139446</v>
      </c>
      <c r="C704" s="129" t="s">
        <v>469</v>
      </c>
      <c r="D704" s="128" t="s">
        <v>150</v>
      </c>
      <c r="E704" s="128" t="s">
        <v>145</v>
      </c>
      <c r="F704" s="29">
        <v>29367</v>
      </c>
      <c r="G704" s="56" t="str">
        <f t="shared" ca="1" si="96"/>
        <v>V 40</v>
      </c>
      <c r="H704" s="28">
        <f t="shared" ca="1" si="97"/>
        <v>40</v>
      </c>
      <c r="J704" s="38" t="str">
        <f t="shared" si="91"/>
        <v>Nuno Gomes</v>
      </c>
      <c r="K704" s="39">
        <f t="shared" si="92"/>
        <v>1115</v>
      </c>
      <c r="L704" s="39">
        <f t="shared" si="93"/>
        <v>139446</v>
      </c>
      <c r="M704" s="40">
        <f t="shared" si="98"/>
        <v>29367</v>
      </c>
      <c r="N704" s="41" t="str">
        <f t="shared" ca="1" si="99"/>
        <v>V 40</v>
      </c>
      <c r="O704" s="41" t="str">
        <f t="shared" si="94"/>
        <v>M</v>
      </c>
      <c r="P704" s="60" t="str">
        <f t="shared" si="95"/>
        <v>CMOF</v>
      </c>
      <c r="Q704" s="61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3">
      <c r="A705" s="28">
        <v>1133</v>
      </c>
      <c r="B705" s="28">
        <v>158715</v>
      </c>
      <c r="C705" s="129" t="s">
        <v>1173</v>
      </c>
      <c r="D705" s="128" t="s">
        <v>150</v>
      </c>
      <c r="E705" s="128" t="s">
        <v>145</v>
      </c>
      <c r="F705" s="29">
        <v>33924</v>
      </c>
      <c r="G705" s="56" t="str">
        <f t="shared" ca="1" si="96"/>
        <v>Sénior</v>
      </c>
      <c r="H705" s="28">
        <f t="shared" ca="1" si="97"/>
        <v>28</v>
      </c>
      <c r="J705" s="38" t="str">
        <f t="shared" si="91"/>
        <v>João Pita</v>
      </c>
      <c r="K705" s="39">
        <f t="shared" si="92"/>
        <v>1133</v>
      </c>
      <c r="L705" s="39">
        <f t="shared" si="93"/>
        <v>158715</v>
      </c>
      <c r="M705" s="40">
        <f t="shared" si="98"/>
        <v>33924</v>
      </c>
      <c r="N705" s="41" t="str">
        <f t="shared" ca="1" si="99"/>
        <v>Sénior</v>
      </c>
      <c r="O705" s="41" t="str">
        <f t="shared" si="94"/>
        <v>M</v>
      </c>
      <c r="P705" s="60" t="str">
        <f t="shared" si="95"/>
        <v>CMOF</v>
      </c>
      <c r="Q705" s="61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3">
      <c r="A706" s="28">
        <v>1093</v>
      </c>
      <c r="B706" s="28">
        <v>153013</v>
      </c>
      <c r="C706" s="129" t="s">
        <v>877</v>
      </c>
      <c r="D706" s="128" t="s">
        <v>150</v>
      </c>
      <c r="E706" s="128" t="s">
        <v>145</v>
      </c>
      <c r="F706" s="29">
        <v>22893</v>
      </c>
      <c r="G706" s="56" t="str">
        <f t="shared" ca="1" si="96"/>
        <v>V 55</v>
      </c>
      <c r="H706" s="28">
        <f t="shared" ca="1" si="97"/>
        <v>58</v>
      </c>
      <c r="J706" s="38" t="str">
        <f t="shared" ref="J706:J769" si="100">C706</f>
        <v>Agostinho P. Fernandes</v>
      </c>
      <c r="K706" s="39">
        <f t="shared" ref="K706:K769" si="101">A706</f>
        <v>1093</v>
      </c>
      <c r="L706" s="39">
        <f t="shared" ref="L706:L769" si="102">B706</f>
        <v>153013</v>
      </c>
      <c r="M706" s="40">
        <f t="shared" si="98"/>
        <v>22893</v>
      </c>
      <c r="N706" s="41" t="str">
        <f t="shared" ca="1" si="99"/>
        <v>V 55</v>
      </c>
      <c r="O706" s="41" t="str">
        <f t="shared" ref="O706:O769" si="103">E706</f>
        <v>M</v>
      </c>
      <c r="P706" s="60" t="str">
        <f t="shared" ref="P706:P769" si="104">D706</f>
        <v>CMOF</v>
      </c>
      <c r="Q706" s="61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3">
      <c r="A707" s="28">
        <v>1127</v>
      </c>
      <c r="B707" s="28">
        <v>135374</v>
      </c>
      <c r="C707" s="129" t="s">
        <v>532</v>
      </c>
      <c r="D707" s="128" t="s">
        <v>150</v>
      </c>
      <c r="E707" s="128" t="s">
        <v>145</v>
      </c>
      <c r="F707" s="29">
        <v>31321</v>
      </c>
      <c r="G707" s="5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B",IF(YEAR(TODAY())-YEAR(F707)&lt;14,"Infantil",IF(YEAR(TODAY())-YEAR(F707)&lt;16,"Iniciado",IF(YEAR(TODAY())-YEAR(F707)&lt;18,"Juvenil",IF(YEAR(TODAY())-YEAR(F707)&lt;20,"Júnior",IF(YEAR(TODAY())-YEAR(F707)&lt;23,"sub 23",IF(ROUNDDOWN(INT(TODAY()-F707)/365.25,0)&lt;35,"Sénior",IF(ROUNDDOWN(INT(TODAY()-F707)/365.25,0)&lt;40,"V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65",IF(ROUNDDOWN(INT(TODAY()-F707)/365.25,0)&lt;75,"V 70",IF(ROUNDDOWN(INT(TODAY()-F707)/365.25,0)&lt;80,"V 75",IF(ROUNDDOWN(INT(TODAY()-F707)/365.25,0)&lt;85,"V 80",IF(ROUNDDOWN(INT(TODAY()-F707)/365.25,0)&lt;90,"V 85",IF(ROUNDDOWN(INT(TODAY()-F707)/365.25,0)&lt;95,"V 90",IF(ROUNDDOWN(INT(TODAY()-F707)/365.25,0)&lt;100,"V 95",IF(ROUNDDOWN(INT(TODAY()-F707)/365.25,0)&gt;=100,"V 100",""))))))))))))))))))))))),"")</f>
        <v>V 35</v>
      </c>
      <c r="H707" s="28">
        <f t="shared" ref="H707:H770" ca="1" si="106">IFERROR(IF($A707&gt;0,ROUNDDOWN(INT(TODAY()-F707)/365.25,0),""),"")</f>
        <v>35</v>
      </c>
      <c r="J707" s="38" t="str">
        <f t="shared" si="100"/>
        <v>Amílcar Fernandes</v>
      </c>
      <c r="K707" s="39">
        <f t="shared" si="101"/>
        <v>1127</v>
      </c>
      <c r="L707" s="39">
        <f t="shared" si="102"/>
        <v>135374</v>
      </c>
      <c r="M707" s="40">
        <f t="shared" ref="M707:M770" si="107">F707</f>
        <v>31321</v>
      </c>
      <c r="N707" s="41" t="str">
        <f t="shared" ref="N707:N770" ca="1" si="108">G707</f>
        <v>V 35</v>
      </c>
      <c r="O707" s="41" t="str">
        <f t="shared" si="103"/>
        <v>M</v>
      </c>
      <c r="P707" s="60" t="str">
        <f t="shared" si="104"/>
        <v>CMOF</v>
      </c>
      <c r="Q707" s="61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3">
      <c r="A708" s="28">
        <v>1092</v>
      </c>
      <c r="B708" s="28">
        <v>153739</v>
      </c>
      <c r="C708" s="129" t="s">
        <v>902</v>
      </c>
      <c r="D708" s="128" t="s">
        <v>150</v>
      </c>
      <c r="E708" s="128" t="s">
        <v>145</v>
      </c>
      <c r="F708" s="29">
        <v>22434</v>
      </c>
      <c r="G708" s="56" t="str">
        <f t="shared" ca="1" si="105"/>
        <v>V 55</v>
      </c>
      <c r="H708" s="28">
        <f t="shared" ca="1" si="106"/>
        <v>59</v>
      </c>
      <c r="J708" s="38" t="str">
        <f t="shared" si="100"/>
        <v>Bruno Castanha</v>
      </c>
      <c r="K708" s="39">
        <f t="shared" si="101"/>
        <v>1092</v>
      </c>
      <c r="L708" s="39">
        <f t="shared" si="102"/>
        <v>153739</v>
      </c>
      <c r="M708" s="40">
        <f t="shared" si="107"/>
        <v>22434</v>
      </c>
      <c r="N708" s="41" t="str">
        <f t="shared" ca="1" si="108"/>
        <v>V 55</v>
      </c>
      <c r="O708" s="41" t="str">
        <f t="shared" si="103"/>
        <v>M</v>
      </c>
      <c r="P708" s="60" t="str">
        <f t="shared" si="104"/>
        <v>CMOF</v>
      </c>
      <c r="Q708" s="61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3">
      <c r="A709" s="28">
        <v>173</v>
      </c>
      <c r="B709" s="28">
        <v>159240</v>
      </c>
      <c r="C709" s="129" t="s">
        <v>1172</v>
      </c>
      <c r="D709" s="128" t="s">
        <v>150</v>
      </c>
      <c r="E709" s="128" t="s">
        <v>146</v>
      </c>
      <c r="F709" s="29">
        <v>26880</v>
      </c>
      <c r="G709" s="56" t="str">
        <f t="shared" ca="1" si="105"/>
        <v>V 45</v>
      </c>
      <c r="H709" s="28">
        <f t="shared" ca="1" si="106"/>
        <v>47</v>
      </c>
      <c r="J709" s="38" t="str">
        <f t="shared" si="100"/>
        <v>Judite Pestana</v>
      </c>
      <c r="K709" s="39">
        <f t="shared" si="101"/>
        <v>173</v>
      </c>
      <c r="L709" s="39">
        <f t="shared" si="102"/>
        <v>159240</v>
      </c>
      <c r="M709" s="40">
        <f t="shared" si="107"/>
        <v>26880</v>
      </c>
      <c r="N709" s="41" t="str">
        <f t="shared" ca="1" si="108"/>
        <v>V 45</v>
      </c>
      <c r="O709" s="41" t="str">
        <f t="shared" si="103"/>
        <v>F</v>
      </c>
      <c r="P709" s="60" t="str">
        <f t="shared" si="104"/>
        <v>CMOF</v>
      </c>
      <c r="Q709" s="61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3">
      <c r="A710" s="28">
        <v>1114</v>
      </c>
      <c r="B710" s="28">
        <v>147491</v>
      </c>
      <c r="C710" s="129" t="s">
        <v>901</v>
      </c>
      <c r="D710" s="128" t="s">
        <v>150</v>
      </c>
      <c r="E710" s="128" t="s">
        <v>145</v>
      </c>
      <c r="F710" s="29">
        <v>28996</v>
      </c>
      <c r="G710" s="56" t="str">
        <f t="shared" ca="1" si="105"/>
        <v>V 40</v>
      </c>
      <c r="H710" s="28">
        <f t="shared" ca="1" si="106"/>
        <v>41</v>
      </c>
      <c r="J710" s="38" t="str">
        <f t="shared" si="100"/>
        <v>José António Reis</v>
      </c>
      <c r="K710" s="39">
        <f t="shared" si="101"/>
        <v>1114</v>
      </c>
      <c r="L710" s="39">
        <f t="shared" si="102"/>
        <v>147491</v>
      </c>
      <c r="M710" s="40">
        <f t="shared" si="107"/>
        <v>28996</v>
      </c>
      <c r="N710" s="41" t="str">
        <f t="shared" ca="1" si="108"/>
        <v>V 40</v>
      </c>
      <c r="O710" s="41" t="str">
        <f t="shared" si="103"/>
        <v>M</v>
      </c>
      <c r="P710" s="60" t="str">
        <f t="shared" si="104"/>
        <v>CMOF</v>
      </c>
      <c r="Q710" s="61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3">
      <c r="A711" s="28">
        <v>92</v>
      </c>
      <c r="B711" s="28">
        <v>125782</v>
      </c>
      <c r="C711" s="129" t="s">
        <v>644</v>
      </c>
      <c r="D711" s="128" t="s">
        <v>170</v>
      </c>
      <c r="E711" s="128" t="s">
        <v>146</v>
      </c>
      <c r="F711" s="29">
        <v>31881</v>
      </c>
      <c r="G711" s="56" t="str">
        <f t="shared" ca="1" si="105"/>
        <v>Sénior</v>
      </c>
      <c r="H711" s="28">
        <f t="shared" ca="1" si="106"/>
        <v>34</v>
      </c>
      <c r="J711" s="38" t="str">
        <f t="shared" si="100"/>
        <v>Lisandra Caires</v>
      </c>
      <c r="K711" s="39">
        <f t="shared" si="101"/>
        <v>92</v>
      </c>
      <c r="L711" s="39">
        <f t="shared" si="102"/>
        <v>125782</v>
      </c>
      <c r="M711" s="40">
        <f t="shared" si="107"/>
        <v>31881</v>
      </c>
      <c r="N711" s="41" t="str">
        <f t="shared" ca="1" si="108"/>
        <v>Sénior</v>
      </c>
      <c r="O711" s="41" t="str">
        <f t="shared" si="103"/>
        <v>F</v>
      </c>
      <c r="P711" s="60" t="str">
        <f t="shared" si="104"/>
        <v>CCDTHF</v>
      </c>
      <c r="Q711" s="6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3">
      <c r="A712" s="28">
        <v>1573</v>
      </c>
      <c r="B712" s="28">
        <v>163136</v>
      </c>
      <c r="C712" s="129" t="s">
        <v>1538</v>
      </c>
      <c r="D712" s="128" t="s">
        <v>959</v>
      </c>
      <c r="E712" s="128" t="s">
        <v>146</v>
      </c>
      <c r="F712" s="29">
        <v>37602</v>
      </c>
      <c r="G712" s="56" t="str">
        <f t="shared" ca="1" si="105"/>
        <v>Júnior</v>
      </c>
      <c r="H712" s="28">
        <f t="shared" ca="1" si="106"/>
        <v>18</v>
      </c>
      <c r="J712" s="38" t="str">
        <f t="shared" si="100"/>
        <v>Ana Melim</v>
      </c>
      <c r="K712" s="39">
        <f t="shared" si="101"/>
        <v>1573</v>
      </c>
      <c r="L712" s="39">
        <f t="shared" si="102"/>
        <v>163136</v>
      </c>
      <c r="M712" s="40">
        <f t="shared" si="107"/>
        <v>37602</v>
      </c>
      <c r="N712" s="41" t="str">
        <f t="shared" ca="1" si="108"/>
        <v>Júnior</v>
      </c>
      <c r="O712" s="41" t="str">
        <f t="shared" si="103"/>
        <v>F</v>
      </c>
      <c r="P712" s="60" t="str">
        <f t="shared" si="104"/>
        <v>GCPS</v>
      </c>
      <c r="Q712" s="61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3">
      <c r="A713" s="28">
        <v>213</v>
      </c>
      <c r="B713" s="28">
        <v>152370</v>
      </c>
      <c r="C713" s="129" t="s">
        <v>958</v>
      </c>
      <c r="D713" s="128" t="s">
        <v>959</v>
      </c>
      <c r="E713" s="128" t="s">
        <v>146</v>
      </c>
      <c r="F713" s="29">
        <v>28585</v>
      </c>
      <c r="G713" s="56" t="str">
        <f t="shared" ca="1" si="105"/>
        <v>V 40</v>
      </c>
      <c r="H713" s="28">
        <f t="shared" ca="1" si="106"/>
        <v>43</v>
      </c>
      <c r="J713" s="38" t="str">
        <f t="shared" si="100"/>
        <v>Márcia Correia</v>
      </c>
      <c r="K713" s="39">
        <f t="shared" si="101"/>
        <v>213</v>
      </c>
      <c r="L713" s="39">
        <f t="shared" si="102"/>
        <v>152370</v>
      </c>
      <c r="M713" s="40">
        <f t="shared" si="107"/>
        <v>28585</v>
      </c>
      <c r="N713" s="41" t="str">
        <f t="shared" ca="1" si="108"/>
        <v>V 40</v>
      </c>
      <c r="O713" s="41" t="str">
        <f t="shared" si="103"/>
        <v>F</v>
      </c>
      <c r="P713" s="60" t="str">
        <f t="shared" si="104"/>
        <v>GCPS</v>
      </c>
      <c r="Q713" s="61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3">
      <c r="A714" s="28">
        <v>1021</v>
      </c>
      <c r="B714" s="28">
        <v>152309</v>
      </c>
      <c r="C714" s="129" t="s">
        <v>1309</v>
      </c>
      <c r="D714" s="128" t="s">
        <v>959</v>
      </c>
      <c r="E714" s="128" t="s">
        <v>145</v>
      </c>
      <c r="F714" s="29">
        <v>30672</v>
      </c>
      <c r="G714" s="56" t="str">
        <f t="shared" ca="1" si="105"/>
        <v>V 35</v>
      </c>
      <c r="H714" s="28">
        <f t="shared" ca="1" si="106"/>
        <v>37</v>
      </c>
      <c r="J714" s="38" t="str">
        <f t="shared" si="100"/>
        <v>Bruno A. Rodrigues</v>
      </c>
      <c r="K714" s="39">
        <f t="shared" si="101"/>
        <v>1021</v>
      </c>
      <c r="L714" s="39">
        <f t="shared" si="102"/>
        <v>152309</v>
      </c>
      <c r="M714" s="40">
        <f t="shared" si="107"/>
        <v>30672</v>
      </c>
      <c r="N714" s="41" t="str">
        <f t="shared" ca="1" si="108"/>
        <v>V 35</v>
      </c>
      <c r="O714" s="41" t="str">
        <f t="shared" si="103"/>
        <v>M</v>
      </c>
      <c r="P714" s="60" t="str">
        <f t="shared" si="104"/>
        <v>GCPS</v>
      </c>
      <c r="Q714" s="61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3">
      <c r="A715" s="28">
        <v>1020</v>
      </c>
      <c r="B715" s="28">
        <v>159419</v>
      </c>
      <c r="C715" s="129" t="s">
        <v>1388</v>
      </c>
      <c r="D715" s="128" t="s">
        <v>959</v>
      </c>
      <c r="E715" s="128" t="s">
        <v>145</v>
      </c>
      <c r="F715" s="29">
        <v>29989</v>
      </c>
      <c r="G715" s="56" t="str">
        <f t="shared" ca="1" si="105"/>
        <v>V 35</v>
      </c>
      <c r="H715" s="28">
        <f t="shared" ca="1" si="106"/>
        <v>39</v>
      </c>
      <c r="J715" s="38" t="str">
        <f t="shared" si="100"/>
        <v>Flávio Vasconcelos</v>
      </c>
      <c r="K715" s="39">
        <f t="shared" si="101"/>
        <v>1020</v>
      </c>
      <c r="L715" s="39">
        <f t="shared" si="102"/>
        <v>159419</v>
      </c>
      <c r="M715" s="40">
        <f t="shared" si="107"/>
        <v>29989</v>
      </c>
      <c r="N715" s="41" t="str">
        <f t="shared" ca="1" si="108"/>
        <v>V 35</v>
      </c>
      <c r="O715" s="41" t="str">
        <f t="shared" si="103"/>
        <v>M</v>
      </c>
      <c r="P715" s="60" t="str">
        <f t="shared" si="104"/>
        <v>GCPS</v>
      </c>
      <c r="Q715" s="61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3">
      <c r="A716" s="28">
        <v>1019</v>
      </c>
      <c r="B716" s="28">
        <v>148149</v>
      </c>
      <c r="C716" s="129" t="s">
        <v>1387</v>
      </c>
      <c r="D716" s="128" t="s">
        <v>959</v>
      </c>
      <c r="E716" s="128" t="s">
        <v>145</v>
      </c>
      <c r="F716" s="29">
        <v>30311</v>
      </c>
      <c r="G716" s="56" t="str">
        <f t="shared" ca="1" si="105"/>
        <v>V 35</v>
      </c>
      <c r="H716" s="28">
        <f t="shared" ca="1" si="106"/>
        <v>38</v>
      </c>
      <c r="J716" s="38" t="str">
        <f t="shared" si="100"/>
        <v>Nuno Lopes</v>
      </c>
      <c r="K716" s="39">
        <f t="shared" si="101"/>
        <v>1019</v>
      </c>
      <c r="L716" s="39">
        <f t="shared" si="102"/>
        <v>148149</v>
      </c>
      <c r="M716" s="40">
        <f t="shared" si="107"/>
        <v>30311</v>
      </c>
      <c r="N716" s="41" t="str">
        <f t="shared" ca="1" si="108"/>
        <v>V 35</v>
      </c>
      <c r="O716" s="41" t="str">
        <f t="shared" si="103"/>
        <v>M</v>
      </c>
      <c r="P716" s="60" t="str">
        <f t="shared" si="104"/>
        <v>GCPS</v>
      </c>
      <c r="Q716" s="61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3">
      <c r="A717" s="28">
        <v>1018</v>
      </c>
      <c r="B717" s="28">
        <v>156176</v>
      </c>
      <c r="C717" s="129" t="s">
        <v>1062</v>
      </c>
      <c r="D717" s="128" t="s">
        <v>959</v>
      </c>
      <c r="E717" s="128" t="s">
        <v>145</v>
      </c>
      <c r="F717" s="29">
        <v>28139</v>
      </c>
      <c r="G717" s="56" t="str">
        <f t="shared" ca="1" si="105"/>
        <v>V 40</v>
      </c>
      <c r="H717" s="28">
        <f t="shared" ca="1" si="106"/>
        <v>44</v>
      </c>
      <c r="J717" s="38" t="str">
        <f t="shared" si="100"/>
        <v>Ramiro Correia</v>
      </c>
      <c r="K717" s="39">
        <f t="shared" si="101"/>
        <v>1018</v>
      </c>
      <c r="L717" s="39">
        <f t="shared" si="102"/>
        <v>156176</v>
      </c>
      <c r="M717" s="40">
        <f t="shared" si="107"/>
        <v>28139</v>
      </c>
      <c r="N717" s="41" t="str">
        <f t="shared" ca="1" si="108"/>
        <v>V 40</v>
      </c>
      <c r="O717" s="41" t="str">
        <f t="shared" si="103"/>
        <v>M</v>
      </c>
      <c r="P717" s="60" t="str">
        <f t="shared" si="104"/>
        <v>GCPS</v>
      </c>
      <c r="Q717" s="61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3">
      <c r="A718" s="28">
        <v>8</v>
      </c>
      <c r="B718" s="28">
        <v>145407</v>
      </c>
      <c r="C718" s="129" t="s">
        <v>713</v>
      </c>
      <c r="D718" s="128" t="s">
        <v>1236</v>
      </c>
      <c r="E718" s="128" t="s">
        <v>146</v>
      </c>
      <c r="F718" s="29">
        <v>30264</v>
      </c>
      <c r="G718" s="56" t="str">
        <f t="shared" ca="1" si="105"/>
        <v>V 35</v>
      </c>
      <c r="H718" s="28">
        <f t="shared" ca="1" si="106"/>
        <v>38</v>
      </c>
      <c r="J718" s="38" t="str">
        <f t="shared" si="100"/>
        <v>Mariana L. Sousa</v>
      </c>
      <c r="K718" s="39">
        <f t="shared" si="101"/>
        <v>8</v>
      </c>
      <c r="L718" s="39">
        <f t="shared" si="102"/>
        <v>145407</v>
      </c>
      <c r="M718" s="40">
        <f t="shared" si="107"/>
        <v>30264</v>
      </c>
      <c r="N718" s="41" t="str">
        <f t="shared" ca="1" si="108"/>
        <v>V 35</v>
      </c>
      <c r="O718" s="41" t="str">
        <f t="shared" si="103"/>
        <v>F</v>
      </c>
      <c r="P718" s="60" t="str">
        <f t="shared" si="104"/>
        <v>ADC</v>
      </c>
      <c r="Q718" s="61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3">
      <c r="A719" s="28">
        <v>1492</v>
      </c>
      <c r="B719" s="28">
        <v>149121</v>
      </c>
      <c r="C719" s="129" t="s">
        <v>1321</v>
      </c>
      <c r="D719" s="128" t="s">
        <v>97</v>
      </c>
      <c r="E719" s="128" t="s">
        <v>145</v>
      </c>
      <c r="F719" s="29">
        <v>34498</v>
      </c>
      <c r="G719" s="56" t="str">
        <f t="shared" ca="1" si="105"/>
        <v>Sénior</v>
      </c>
      <c r="H719" s="28">
        <f t="shared" ca="1" si="106"/>
        <v>26</v>
      </c>
      <c r="J719" s="38" t="str">
        <f t="shared" si="100"/>
        <v>Diogo Castro</v>
      </c>
      <c r="K719" s="39">
        <f t="shared" si="101"/>
        <v>1492</v>
      </c>
      <c r="L719" s="39">
        <f t="shared" si="102"/>
        <v>149121</v>
      </c>
      <c r="M719" s="40">
        <f t="shared" si="107"/>
        <v>34498</v>
      </c>
      <c r="N719" s="41" t="str">
        <f t="shared" ca="1" si="108"/>
        <v>Sénior</v>
      </c>
      <c r="O719" s="41" t="str">
        <f t="shared" si="103"/>
        <v>M</v>
      </c>
      <c r="P719" s="60" t="str">
        <f t="shared" si="104"/>
        <v>ADRAP</v>
      </c>
      <c r="Q719" s="61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3">
      <c r="A720" s="28">
        <v>1471</v>
      </c>
      <c r="B720" s="28">
        <v>130352</v>
      </c>
      <c r="C720" s="129" t="s">
        <v>1335</v>
      </c>
      <c r="D720" s="128" t="s">
        <v>97</v>
      </c>
      <c r="E720" s="128" t="s">
        <v>145</v>
      </c>
      <c r="F720" s="29">
        <v>30623</v>
      </c>
      <c r="G720" s="56" t="str">
        <f t="shared" ca="1" si="105"/>
        <v>V 35</v>
      </c>
      <c r="H720" s="28">
        <f t="shared" ca="1" si="106"/>
        <v>37</v>
      </c>
      <c r="J720" s="38" t="str">
        <f t="shared" si="100"/>
        <v>Filipe Freitas</v>
      </c>
      <c r="K720" s="39">
        <f t="shared" si="101"/>
        <v>1471</v>
      </c>
      <c r="L720" s="39">
        <f t="shared" si="102"/>
        <v>130352</v>
      </c>
      <c r="M720" s="40">
        <f t="shared" si="107"/>
        <v>30623</v>
      </c>
      <c r="N720" s="41" t="str">
        <f t="shared" ca="1" si="108"/>
        <v>V 35</v>
      </c>
      <c r="O720" s="41" t="str">
        <f t="shared" si="103"/>
        <v>M</v>
      </c>
      <c r="P720" s="60" t="str">
        <f t="shared" si="104"/>
        <v>ADRAP</v>
      </c>
      <c r="Q720" s="61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3">
      <c r="A721" s="28">
        <v>1747</v>
      </c>
      <c r="B721" s="28">
        <v>143710</v>
      </c>
      <c r="C721" s="129" t="s">
        <v>565</v>
      </c>
      <c r="D721" s="128" t="s">
        <v>97</v>
      </c>
      <c r="E721" s="128" t="s">
        <v>145</v>
      </c>
      <c r="F721" s="29">
        <v>37340</v>
      </c>
      <c r="G721" s="56" t="str">
        <f t="shared" ca="1" si="105"/>
        <v>Júnior</v>
      </c>
      <c r="H721" s="28">
        <f t="shared" ca="1" si="106"/>
        <v>19</v>
      </c>
      <c r="J721" s="38" t="str">
        <f t="shared" si="100"/>
        <v>Hélvio Nascimento</v>
      </c>
      <c r="K721" s="39">
        <f t="shared" si="101"/>
        <v>1747</v>
      </c>
      <c r="L721" s="39">
        <f t="shared" si="102"/>
        <v>143710</v>
      </c>
      <c r="M721" s="40">
        <f t="shared" si="107"/>
        <v>37340</v>
      </c>
      <c r="N721" s="41" t="str">
        <f t="shared" ca="1" si="108"/>
        <v>Júnior</v>
      </c>
      <c r="O721" s="41" t="str">
        <f t="shared" si="103"/>
        <v>M</v>
      </c>
      <c r="P721" s="60" t="str">
        <f t="shared" si="104"/>
        <v>ADRAP</v>
      </c>
      <c r="Q721" s="6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3">
      <c r="A722" s="28">
        <v>1908</v>
      </c>
      <c r="B722" s="28">
        <v>153446</v>
      </c>
      <c r="C722" s="129" t="s">
        <v>881</v>
      </c>
      <c r="D722" s="128" t="s">
        <v>736</v>
      </c>
      <c r="E722" s="128" t="s">
        <v>146</v>
      </c>
      <c r="F722" s="29">
        <v>39855</v>
      </c>
      <c r="G722" s="56" t="str">
        <f t="shared" ca="1" si="105"/>
        <v>Infantil</v>
      </c>
      <c r="H722" s="28">
        <f t="shared" ca="1" si="106"/>
        <v>12</v>
      </c>
      <c r="J722" s="38" t="str">
        <f t="shared" si="100"/>
        <v>Leonor Sousa</v>
      </c>
      <c r="K722" s="39">
        <f t="shared" si="101"/>
        <v>1908</v>
      </c>
      <c r="L722" s="39">
        <f t="shared" si="102"/>
        <v>153446</v>
      </c>
      <c r="M722" s="40">
        <f t="shared" si="107"/>
        <v>39855</v>
      </c>
      <c r="N722" s="41" t="str">
        <f t="shared" ca="1" si="108"/>
        <v>Infantil</v>
      </c>
      <c r="O722" s="41" t="str">
        <f t="shared" si="103"/>
        <v>F</v>
      </c>
      <c r="P722" s="60" t="str">
        <f t="shared" si="104"/>
        <v>CFA-M</v>
      </c>
      <c r="Q722" s="61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3">
      <c r="A723" s="28">
        <v>2041</v>
      </c>
      <c r="B723" s="28">
        <v>152785</v>
      </c>
      <c r="C723" s="129" t="s">
        <v>882</v>
      </c>
      <c r="D723" s="128" t="s">
        <v>736</v>
      </c>
      <c r="E723" s="128" t="s">
        <v>145</v>
      </c>
      <c r="F723" s="29">
        <v>39532</v>
      </c>
      <c r="G723" s="56" t="str">
        <f t="shared" ca="1" si="105"/>
        <v>Infantil</v>
      </c>
      <c r="H723" s="28">
        <f t="shared" ca="1" si="106"/>
        <v>13</v>
      </c>
      <c r="J723" s="38" t="str">
        <f t="shared" si="100"/>
        <v>Dino Freitas</v>
      </c>
      <c r="K723" s="39">
        <f t="shared" si="101"/>
        <v>2041</v>
      </c>
      <c r="L723" s="39">
        <f t="shared" si="102"/>
        <v>152785</v>
      </c>
      <c r="M723" s="40">
        <f t="shared" si="107"/>
        <v>39532</v>
      </c>
      <c r="N723" s="41" t="str">
        <f t="shared" ca="1" si="108"/>
        <v>Infantil</v>
      </c>
      <c r="O723" s="41" t="str">
        <f t="shared" si="103"/>
        <v>M</v>
      </c>
      <c r="P723" s="60" t="str">
        <f t="shared" si="104"/>
        <v>CFA-M</v>
      </c>
      <c r="Q723" s="61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3">
      <c r="A724" s="28">
        <v>1909</v>
      </c>
      <c r="B724" s="28">
        <v>152786</v>
      </c>
      <c r="C724" s="129" t="s">
        <v>880</v>
      </c>
      <c r="D724" s="128" t="s">
        <v>736</v>
      </c>
      <c r="E724" s="128" t="s">
        <v>146</v>
      </c>
      <c r="F724" s="29">
        <v>39947</v>
      </c>
      <c r="G724" s="56" t="str">
        <f t="shared" ca="1" si="105"/>
        <v>Infantil</v>
      </c>
      <c r="H724" s="28">
        <f t="shared" ca="1" si="106"/>
        <v>11</v>
      </c>
      <c r="J724" s="38" t="str">
        <f t="shared" si="100"/>
        <v>Ana Isabel Gomes</v>
      </c>
      <c r="K724" s="39">
        <f t="shared" si="101"/>
        <v>1909</v>
      </c>
      <c r="L724" s="39">
        <f t="shared" si="102"/>
        <v>152786</v>
      </c>
      <c r="M724" s="40">
        <f t="shared" si="107"/>
        <v>39947</v>
      </c>
      <c r="N724" s="41" t="str">
        <f t="shared" ca="1" si="108"/>
        <v>Infantil</v>
      </c>
      <c r="O724" s="41" t="str">
        <f t="shared" si="103"/>
        <v>F</v>
      </c>
      <c r="P724" s="60" t="str">
        <f t="shared" si="104"/>
        <v>CFA-M</v>
      </c>
      <c r="Q724" s="61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3">
      <c r="A725" s="28">
        <v>1888</v>
      </c>
      <c r="B725" s="28">
        <v>127056</v>
      </c>
      <c r="C725" s="129" t="s">
        <v>743</v>
      </c>
      <c r="D725" s="128" t="s">
        <v>736</v>
      </c>
      <c r="E725" s="128" t="s">
        <v>145</v>
      </c>
      <c r="F725" s="29">
        <v>39062</v>
      </c>
      <c r="G725" s="56" t="str">
        <f t="shared" ca="1" si="105"/>
        <v>Iniciado</v>
      </c>
      <c r="H725" s="28">
        <f t="shared" ca="1" si="106"/>
        <v>14</v>
      </c>
      <c r="J725" s="38" t="str">
        <f t="shared" si="100"/>
        <v>João Tomás Gomes</v>
      </c>
      <c r="K725" s="39">
        <f t="shared" si="101"/>
        <v>1888</v>
      </c>
      <c r="L725" s="39">
        <f t="shared" si="102"/>
        <v>127056</v>
      </c>
      <c r="M725" s="40">
        <f t="shared" si="107"/>
        <v>39062</v>
      </c>
      <c r="N725" s="41" t="str">
        <f t="shared" ca="1" si="108"/>
        <v>Iniciado</v>
      </c>
      <c r="O725" s="41" t="str">
        <f t="shared" si="103"/>
        <v>M</v>
      </c>
      <c r="P725" s="60" t="str">
        <f t="shared" si="104"/>
        <v>CFA-M</v>
      </c>
      <c r="Q725" s="61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3">
      <c r="A726" s="28">
        <v>151</v>
      </c>
      <c r="B726" s="28">
        <v>163518</v>
      </c>
      <c r="C726" s="129" t="s">
        <v>1453</v>
      </c>
      <c r="D726" s="128" t="s">
        <v>1069</v>
      </c>
      <c r="E726" s="128" t="s">
        <v>146</v>
      </c>
      <c r="F726" s="29">
        <v>34114</v>
      </c>
      <c r="G726" s="56" t="str">
        <f t="shared" ca="1" si="105"/>
        <v>Sénior</v>
      </c>
      <c r="H726" s="28">
        <f t="shared" ca="1" si="106"/>
        <v>27</v>
      </c>
      <c r="J726" s="38" t="str">
        <f t="shared" si="100"/>
        <v>Áurea Basílio</v>
      </c>
      <c r="K726" s="39">
        <f t="shared" si="101"/>
        <v>151</v>
      </c>
      <c r="L726" s="39">
        <f t="shared" si="102"/>
        <v>163518</v>
      </c>
      <c r="M726" s="40">
        <f t="shared" si="107"/>
        <v>34114</v>
      </c>
      <c r="N726" s="41" t="str">
        <f t="shared" ca="1" si="108"/>
        <v>Sénior</v>
      </c>
      <c r="O726" s="41" t="str">
        <f t="shared" si="103"/>
        <v>F</v>
      </c>
      <c r="P726" s="60" t="str">
        <f t="shared" si="104"/>
        <v>CEOL</v>
      </c>
      <c r="Q726" s="61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3">
      <c r="A727" s="28">
        <v>152</v>
      </c>
      <c r="B727" s="28">
        <v>163523</v>
      </c>
      <c r="C727" s="129" t="s">
        <v>1454</v>
      </c>
      <c r="D727" s="128" t="s">
        <v>1069</v>
      </c>
      <c r="E727" s="128" t="s">
        <v>146</v>
      </c>
      <c r="F727" s="29">
        <v>32516</v>
      </c>
      <c r="G727" s="56" t="str">
        <f t="shared" ca="1" si="105"/>
        <v>Sénior</v>
      </c>
      <c r="H727" s="28">
        <f t="shared" ca="1" si="106"/>
        <v>32</v>
      </c>
      <c r="J727" s="38" t="str">
        <f t="shared" si="100"/>
        <v>Vanessa Furtado</v>
      </c>
      <c r="K727" s="39">
        <f t="shared" si="101"/>
        <v>152</v>
      </c>
      <c r="L727" s="39">
        <f t="shared" si="102"/>
        <v>163523</v>
      </c>
      <c r="M727" s="40">
        <f t="shared" si="107"/>
        <v>32516</v>
      </c>
      <c r="N727" s="41" t="str">
        <f t="shared" ca="1" si="108"/>
        <v>Sénior</v>
      </c>
      <c r="O727" s="41" t="str">
        <f t="shared" si="103"/>
        <v>F</v>
      </c>
      <c r="P727" s="60" t="str">
        <f t="shared" si="104"/>
        <v>CEOL</v>
      </c>
      <c r="Q727" s="61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3">
      <c r="A728" s="28">
        <v>1491</v>
      </c>
      <c r="B728" s="28">
        <v>129360</v>
      </c>
      <c r="C728" s="129" t="s">
        <v>636</v>
      </c>
      <c r="D728" s="128" t="s">
        <v>97</v>
      </c>
      <c r="E728" s="128" t="s">
        <v>145</v>
      </c>
      <c r="F728" s="29">
        <v>33101</v>
      </c>
      <c r="G728" s="56" t="str">
        <f t="shared" ca="1" si="105"/>
        <v>Sénior</v>
      </c>
      <c r="H728" s="28">
        <f t="shared" ca="1" si="106"/>
        <v>30</v>
      </c>
      <c r="J728" s="38" t="str">
        <f t="shared" si="100"/>
        <v>Roque Semedo</v>
      </c>
      <c r="K728" s="39">
        <f t="shared" si="101"/>
        <v>1491</v>
      </c>
      <c r="L728" s="39">
        <f t="shared" si="102"/>
        <v>129360</v>
      </c>
      <c r="M728" s="40">
        <f t="shared" si="107"/>
        <v>33101</v>
      </c>
      <c r="N728" s="41" t="str">
        <f t="shared" ca="1" si="108"/>
        <v>Sénior</v>
      </c>
      <c r="O728" s="41" t="str">
        <f t="shared" si="103"/>
        <v>M</v>
      </c>
      <c r="P728" s="60" t="str">
        <f t="shared" si="104"/>
        <v>ADRAP</v>
      </c>
      <c r="Q728" s="61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3">
      <c r="A729" s="28">
        <v>22</v>
      </c>
      <c r="B729" s="28">
        <v>137106</v>
      </c>
      <c r="C729" s="129" t="s">
        <v>423</v>
      </c>
      <c r="D729" s="128" t="s">
        <v>97</v>
      </c>
      <c r="E729" s="128" t="s">
        <v>146</v>
      </c>
      <c r="F729" s="29">
        <v>35368</v>
      </c>
      <c r="G729" s="56" t="str">
        <f t="shared" ca="1" si="105"/>
        <v>Sénior</v>
      </c>
      <c r="H729" s="28">
        <f t="shared" ca="1" si="106"/>
        <v>24</v>
      </c>
      <c r="J729" s="38" t="str">
        <f t="shared" si="100"/>
        <v>Marisa Ascensão</v>
      </c>
      <c r="K729" s="39">
        <f t="shared" si="101"/>
        <v>22</v>
      </c>
      <c r="L729" s="39">
        <f t="shared" si="102"/>
        <v>137106</v>
      </c>
      <c r="M729" s="40">
        <f t="shared" si="107"/>
        <v>35368</v>
      </c>
      <c r="N729" s="41" t="str">
        <f t="shared" ca="1" si="108"/>
        <v>Sénior</v>
      </c>
      <c r="O729" s="41" t="str">
        <f t="shared" si="103"/>
        <v>F</v>
      </c>
      <c r="P729" s="60" t="str">
        <f t="shared" si="104"/>
        <v>ADRAP</v>
      </c>
      <c r="Q729" s="61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3">
      <c r="A730" s="28">
        <v>2055</v>
      </c>
      <c r="B730" s="28">
        <v>159602</v>
      </c>
      <c r="C730" s="129" t="s">
        <v>1193</v>
      </c>
      <c r="D730" s="128" t="s">
        <v>97</v>
      </c>
      <c r="E730" s="128" t="s">
        <v>146</v>
      </c>
      <c r="F730" s="29">
        <v>40479</v>
      </c>
      <c r="G730" s="56" t="str">
        <f t="shared" ca="1" si="105"/>
        <v>Benjamim B</v>
      </c>
      <c r="H730" s="28">
        <f t="shared" ca="1" si="106"/>
        <v>10</v>
      </c>
      <c r="J730" s="38" t="str">
        <f t="shared" si="100"/>
        <v>Inês Crespo</v>
      </c>
      <c r="K730" s="39">
        <f t="shared" si="101"/>
        <v>2055</v>
      </c>
      <c r="L730" s="39">
        <f t="shared" si="102"/>
        <v>159602</v>
      </c>
      <c r="M730" s="40">
        <f t="shared" si="107"/>
        <v>40479</v>
      </c>
      <c r="N730" s="41" t="str">
        <f t="shared" ca="1" si="108"/>
        <v>Benjamim B</v>
      </c>
      <c r="O730" s="41" t="str">
        <f t="shared" si="103"/>
        <v>F</v>
      </c>
      <c r="P730" s="60" t="str">
        <f t="shared" si="104"/>
        <v>ADRAP</v>
      </c>
      <c r="Q730" s="61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3">
      <c r="A731" s="28">
        <v>1470</v>
      </c>
      <c r="B731" s="28">
        <v>128260</v>
      </c>
      <c r="C731" s="129" t="s">
        <v>95</v>
      </c>
      <c r="D731" s="128" t="s">
        <v>97</v>
      </c>
      <c r="E731" s="128" t="s">
        <v>145</v>
      </c>
      <c r="F731" s="29">
        <v>29620</v>
      </c>
      <c r="G731" s="56" t="str">
        <f t="shared" ca="1" si="105"/>
        <v>V 40</v>
      </c>
      <c r="H731" s="28">
        <f t="shared" ca="1" si="106"/>
        <v>40</v>
      </c>
      <c r="J731" s="38" t="str">
        <f t="shared" si="100"/>
        <v>Ricardo Crespo</v>
      </c>
      <c r="K731" s="39">
        <f t="shared" si="101"/>
        <v>1470</v>
      </c>
      <c r="L731" s="39">
        <f t="shared" si="102"/>
        <v>128260</v>
      </c>
      <c r="M731" s="40">
        <f t="shared" si="107"/>
        <v>29620</v>
      </c>
      <c r="N731" s="41" t="str">
        <f t="shared" ca="1" si="108"/>
        <v>V 40</v>
      </c>
      <c r="O731" s="41" t="str">
        <f t="shared" si="103"/>
        <v>M</v>
      </c>
      <c r="P731" s="60" t="str">
        <f t="shared" si="104"/>
        <v>ADRAP</v>
      </c>
      <c r="Q731" s="6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3">
      <c r="A732" s="28">
        <v>1746</v>
      </c>
      <c r="B732" s="28">
        <v>145213</v>
      </c>
      <c r="C732" s="129" t="s">
        <v>724</v>
      </c>
      <c r="D732" s="128" t="s">
        <v>97</v>
      </c>
      <c r="E732" s="128" t="s">
        <v>145</v>
      </c>
      <c r="F732" s="29">
        <v>37327</v>
      </c>
      <c r="G732" s="56" t="str">
        <f t="shared" ca="1" si="105"/>
        <v>Júnior</v>
      </c>
      <c r="H732" s="28">
        <f t="shared" ca="1" si="106"/>
        <v>19</v>
      </c>
      <c r="J732" s="38" t="str">
        <f t="shared" si="100"/>
        <v>Guilherme Ornelas</v>
      </c>
      <c r="K732" s="39">
        <f t="shared" si="101"/>
        <v>1746</v>
      </c>
      <c r="L732" s="39">
        <f t="shared" si="102"/>
        <v>145213</v>
      </c>
      <c r="M732" s="40">
        <f t="shared" si="107"/>
        <v>37327</v>
      </c>
      <c r="N732" s="41" t="str">
        <f t="shared" ca="1" si="108"/>
        <v>Júnior</v>
      </c>
      <c r="O732" s="41" t="str">
        <f t="shared" si="103"/>
        <v>M</v>
      </c>
      <c r="P732" s="60" t="str">
        <f t="shared" si="104"/>
        <v>ADRAP</v>
      </c>
      <c r="Q732" s="61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3">
      <c r="A733" s="28">
        <v>1482</v>
      </c>
      <c r="B733" s="28">
        <v>133080</v>
      </c>
      <c r="C733" s="129" t="s">
        <v>939</v>
      </c>
      <c r="D733" s="128" t="s">
        <v>97</v>
      </c>
      <c r="E733" s="128" t="s">
        <v>145</v>
      </c>
      <c r="F733" s="29">
        <v>36918</v>
      </c>
      <c r="G733" s="56" t="str">
        <f t="shared" ca="1" si="105"/>
        <v>sub 23</v>
      </c>
      <c r="H733" s="28">
        <f t="shared" ca="1" si="106"/>
        <v>20</v>
      </c>
      <c r="J733" s="38" t="str">
        <f t="shared" si="100"/>
        <v>Tiago Fernandes</v>
      </c>
      <c r="K733" s="39">
        <f t="shared" si="101"/>
        <v>1482</v>
      </c>
      <c r="L733" s="39">
        <f t="shared" si="102"/>
        <v>133080</v>
      </c>
      <c r="M733" s="40">
        <f t="shared" si="107"/>
        <v>36918</v>
      </c>
      <c r="N733" s="41" t="str">
        <f t="shared" ca="1" si="108"/>
        <v>sub 23</v>
      </c>
      <c r="O733" s="41" t="str">
        <f t="shared" si="103"/>
        <v>M</v>
      </c>
      <c r="P733" s="60" t="str">
        <f t="shared" si="104"/>
        <v>ADRAP</v>
      </c>
      <c r="Q733" s="61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3">
      <c r="A734" s="28">
        <v>1481</v>
      </c>
      <c r="B734" s="28">
        <v>132145</v>
      </c>
      <c r="C734" s="129" t="s">
        <v>637</v>
      </c>
      <c r="D734" s="128" t="s">
        <v>97</v>
      </c>
      <c r="E734" s="128" t="s">
        <v>145</v>
      </c>
      <c r="F734" s="29">
        <v>36813</v>
      </c>
      <c r="G734" s="56" t="str">
        <f t="shared" ca="1" si="105"/>
        <v>sub 23</v>
      </c>
      <c r="H734" s="28">
        <f t="shared" ca="1" si="106"/>
        <v>20</v>
      </c>
      <c r="J734" s="38" t="str">
        <f t="shared" si="100"/>
        <v>João Afonso Olim</v>
      </c>
      <c r="K734" s="39">
        <f t="shared" si="101"/>
        <v>1481</v>
      </c>
      <c r="L734" s="39">
        <f t="shared" si="102"/>
        <v>132145</v>
      </c>
      <c r="M734" s="40">
        <f t="shared" si="107"/>
        <v>36813</v>
      </c>
      <c r="N734" s="41" t="str">
        <f t="shared" ca="1" si="108"/>
        <v>sub 23</v>
      </c>
      <c r="O734" s="41" t="str">
        <f t="shared" si="103"/>
        <v>M</v>
      </c>
      <c r="P734" s="60" t="str">
        <f t="shared" si="104"/>
        <v>ADRAP</v>
      </c>
      <c r="Q734" s="61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3">
      <c r="A735" s="28">
        <v>1551</v>
      </c>
      <c r="B735" s="28">
        <v>142030</v>
      </c>
      <c r="C735" s="129" t="s">
        <v>1360</v>
      </c>
      <c r="D735" s="128" t="s">
        <v>97</v>
      </c>
      <c r="E735" s="128" t="s">
        <v>146</v>
      </c>
      <c r="F735" s="29">
        <v>37327</v>
      </c>
      <c r="G735" s="56" t="str">
        <f t="shared" ca="1" si="105"/>
        <v>Júnior</v>
      </c>
      <c r="H735" s="28">
        <f t="shared" ca="1" si="106"/>
        <v>19</v>
      </c>
      <c r="J735" s="38" t="str">
        <f t="shared" si="100"/>
        <v>Adriana Viveiros</v>
      </c>
      <c r="K735" s="39">
        <f t="shared" si="101"/>
        <v>1551</v>
      </c>
      <c r="L735" s="39">
        <f t="shared" si="102"/>
        <v>142030</v>
      </c>
      <c r="M735" s="40">
        <f t="shared" si="107"/>
        <v>37327</v>
      </c>
      <c r="N735" s="41" t="str">
        <f t="shared" ca="1" si="108"/>
        <v>Júnior</v>
      </c>
      <c r="O735" s="41" t="str">
        <f t="shared" si="103"/>
        <v>F</v>
      </c>
      <c r="P735" s="60" t="str">
        <f t="shared" si="104"/>
        <v>ADRAP</v>
      </c>
      <c r="Q735" s="61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3">
      <c r="A736" s="28">
        <v>28</v>
      </c>
      <c r="B736" s="28">
        <v>127786</v>
      </c>
      <c r="C736" s="129" t="s">
        <v>934</v>
      </c>
      <c r="D736" s="128" t="s">
        <v>97</v>
      </c>
      <c r="E736" s="128" t="s">
        <v>146</v>
      </c>
      <c r="F736" s="29">
        <v>29574</v>
      </c>
      <c r="G736" s="56" t="str">
        <f t="shared" ca="1" si="105"/>
        <v>V 40</v>
      </c>
      <c r="H736" s="28">
        <f t="shared" ca="1" si="106"/>
        <v>40</v>
      </c>
      <c r="J736" s="38" t="str">
        <f t="shared" si="100"/>
        <v>Ana Luísa Viveiros</v>
      </c>
      <c r="K736" s="39">
        <f t="shared" si="101"/>
        <v>28</v>
      </c>
      <c r="L736" s="39">
        <f t="shared" si="102"/>
        <v>127786</v>
      </c>
      <c r="M736" s="40">
        <f t="shared" si="107"/>
        <v>29574</v>
      </c>
      <c r="N736" s="41" t="str">
        <f t="shared" ca="1" si="108"/>
        <v>V 40</v>
      </c>
      <c r="O736" s="41" t="str">
        <f t="shared" si="103"/>
        <v>F</v>
      </c>
      <c r="P736" s="60" t="str">
        <f t="shared" si="104"/>
        <v>ADRAP</v>
      </c>
      <c r="Q736" s="61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3">
      <c r="A737" s="28">
        <v>1752</v>
      </c>
      <c r="B737" s="28">
        <v>154132</v>
      </c>
      <c r="C737" s="129" t="s">
        <v>1024</v>
      </c>
      <c r="D737" s="128" t="s">
        <v>97</v>
      </c>
      <c r="E737" s="128" t="s">
        <v>146</v>
      </c>
      <c r="F737" s="29">
        <v>38818</v>
      </c>
      <c r="G737" s="56" t="str">
        <f t="shared" ca="1" si="105"/>
        <v>Iniciado</v>
      </c>
      <c r="H737" s="28">
        <f t="shared" ca="1" si="106"/>
        <v>15</v>
      </c>
      <c r="J737" s="38" t="str">
        <f t="shared" si="100"/>
        <v>Ana Beatriz Pires</v>
      </c>
      <c r="K737" s="39">
        <f t="shared" si="101"/>
        <v>1752</v>
      </c>
      <c r="L737" s="39">
        <f t="shared" si="102"/>
        <v>154132</v>
      </c>
      <c r="M737" s="40">
        <f t="shared" si="107"/>
        <v>38818</v>
      </c>
      <c r="N737" s="41" t="str">
        <f t="shared" ca="1" si="108"/>
        <v>Iniciado</v>
      </c>
      <c r="O737" s="41" t="str">
        <f t="shared" si="103"/>
        <v>F</v>
      </c>
      <c r="P737" s="60" t="str">
        <f t="shared" si="104"/>
        <v>ADRAP</v>
      </c>
      <c r="Q737" s="61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3">
      <c r="A738" s="28">
        <v>2056</v>
      </c>
      <c r="B738" s="28">
        <v>156396</v>
      </c>
      <c r="C738" s="129" t="s">
        <v>1067</v>
      </c>
      <c r="D738" s="128" t="s">
        <v>97</v>
      </c>
      <c r="E738" s="128" t="s">
        <v>146</v>
      </c>
      <c r="F738" s="29">
        <v>40254</v>
      </c>
      <c r="G738" s="56" t="str">
        <f t="shared" ca="1" si="105"/>
        <v>Benjamim B</v>
      </c>
      <c r="H738" s="28">
        <f t="shared" ca="1" si="106"/>
        <v>11</v>
      </c>
      <c r="J738" s="38" t="str">
        <f t="shared" si="100"/>
        <v>Anthonella Hernandez</v>
      </c>
      <c r="K738" s="39">
        <f t="shared" si="101"/>
        <v>2056</v>
      </c>
      <c r="L738" s="39">
        <f t="shared" si="102"/>
        <v>156396</v>
      </c>
      <c r="M738" s="40">
        <f t="shared" si="107"/>
        <v>40254</v>
      </c>
      <c r="N738" s="41" t="str">
        <f t="shared" ca="1" si="108"/>
        <v>Benjamim B</v>
      </c>
      <c r="O738" s="41" t="str">
        <f t="shared" si="103"/>
        <v>F</v>
      </c>
      <c r="P738" s="60" t="str">
        <f t="shared" si="104"/>
        <v>ADRAP</v>
      </c>
      <c r="Q738" s="61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3">
      <c r="A739" s="28">
        <v>1902</v>
      </c>
      <c r="B739" s="28">
        <v>156421</v>
      </c>
      <c r="C739" s="129" t="s">
        <v>1250</v>
      </c>
      <c r="D739" s="128" t="s">
        <v>97</v>
      </c>
      <c r="E739" s="128" t="s">
        <v>146</v>
      </c>
      <c r="F739" s="29">
        <v>39515</v>
      </c>
      <c r="G739" s="56" t="str">
        <f t="shared" ca="1" si="105"/>
        <v>Infantil</v>
      </c>
      <c r="H739" s="28">
        <f t="shared" ca="1" si="106"/>
        <v>13</v>
      </c>
      <c r="J739" s="38" t="str">
        <f t="shared" si="100"/>
        <v>Veronika Hernandez</v>
      </c>
      <c r="K739" s="39">
        <f t="shared" si="101"/>
        <v>1902</v>
      </c>
      <c r="L739" s="39">
        <f t="shared" si="102"/>
        <v>156421</v>
      </c>
      <c r="M739" s="40">
        <f t="shared" si="107"/>
        <v>39515</v>
      </c>
      <c r="N739" s="41" t="str">
        <f t="shared" ca="1" si="108"/>
        <v>Infantil</v>
      </c>
      <c r="O739" s="41" t="str">
        <f t="shared" si="103"/>
        <v>F</v>
      </c>
      <c r="P739" s="60" t="str">
        <f t="shared" si="104"/>
        <v>ADRAP</v>
      </c>
      <c r="Q739" s="61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3">
      <c r="A740" s="28">
        <v>2249</v>
      </c>
      <c r="B740" s="28">
        <v>158556</v>
      </c>
      <c r="C740" s="129" t="s">
        <v>1364</v>
      </c>
      <c r="D740" s="128" t="s">
        <v>97</v>
      </c>
      <c r="E740" s="128" t="s">
        <v>145</v>
      </c>
      <c r="F740" s="29">
        <v>40800</v>
      </c>
      <c r="G740" s="56" t="str">
        <f t="shared" ca="1" si="105"/>
        <v>Benjamim B</v>
      </c>
      <c r="H740" s="28">
        <f t="shared" ca="1" si="106"/>
        <v>9</v>
      </c>
      <c r="J740" s="38" t="str">
        <f t="shared" si="100"/>
        <v>Ramsés Hernandez</v>
      </c>
      <c r="K740" s="39">
        <f t="shared" si="101"/>
        <v>2249</v>
      </c>
      <c r="L740" s="39">
        <f t="shared" si="102"/>
        <v>158556</v>
      </c>
      <c r="M740" s="40">
        <f t="shared" si="107"/>
        <v>40800</v>
      </c>
      <c r="N740" s="41" t="str">
        <f t="shared" ca="1" si="108"/>
        <v>Benjamim B</v>
      </c>
      <c r="O740" s="41" t="str">
        <f t="shared" si="103"/>
        <v>M</v>
      </c>
      <c r="P740" s="60" t="str">
        <f t="shared" si="104"/>
        <v>ADRAP</v>
      </c>
      <c r="Q740" s="61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3">
      <c r="A741" s="28">
        <v>2057</v>
      </c>
      <c r="B741" s="28">
        <v>160095</v>
      </c>
      <c r="C741" s="129" t="s">
        <v>1251</v>
      </c>
      <c r="D741" s="128" t="s">
        <v>97</v>
      </c>
      <c r="E741" s="128" t="s">
        <v>146</v>
      </c>
      <c r="F741" s="29">
        <v>40380</v>
      </c>
      <c r="G741" s="56" t="str">
        <f t="shared" ca="1" si="105"/>
        <v>Benjamim B</v>
      </c>
      <c r="H741" s="28">
        <f t="shared" ca="1" si="106"/>
        <v>10</v>
      </c>
      <c r="J741" s="38" t="str">
        <f t="shared" si="100"/>
        <v>Leonor C. Freitas</v>
      </c>
      <c r="K741" s="39">
        <f t="shared" si="101"/>
        <v>2057</v>
      </c>
      <c r="L741" s="39">
        <f t="shared" si="102"/>
        <v>160095</v>
      </c>
      <c r="M741" s="40">
        <f t="shared" si="107"/>
        <v>40380</v>
      </c>
      <c r="N741" s="41" t="str">
        <f t="shared" ca="1" si="108"/>
        <v>Benjamim B</v>
      </c>
      <c r="O741" s="41" t="str">
        <f t="shared" si="103"/>
        <v>F</v>
      </c>
      <c r="P741" s="60" t="str">
        <f t="shared" si="104"/>
        <v>ADRAP</v>
      </c>
      <c r="Q741" s="6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3">
      <c r="A742" s="28">
        <v>2248</v>
      </c>
      <c r="B742" s="28">
        <v>155794</v>
      </c>
      <c r="C742" s="129" t="s">
        <v>1027</v>
      </c>
      <c r="D742" s="128" t="s">
        <v>97</v>
      </c>
      <c r="E742" s="128" t="s">
        <v>145</v>
      </c>
      <c r="F742" s="29">
        <v>40272</v>
      </c>
      <c r="G742" s="56" t="str">
        <f t="shared" ca="1" si="105"/>
        <v>Benjamim B</v>
      </c>
      <c r="H742" s="28">
        <f t="shared" ca="1" si="106"/>
        <v>11</v>
      </c>
      <c r="J742" s="38" t="str">
        <f t="shared" si="100"/>
        <v>Dinis A. Freitas</v>
      </c>
      <c r="K742" s="39">
        <f t="shared" si="101"/>
        <v>2248</v>
      </c>
      <c r="L742" s="39">
        <f t="shared" si="102"/>
        <v>155794</v>
      </c>
      <c r="M742" s="40">
        <f t="shared" si="107"/>
        <v>40272</v>
      </c>
      <c r="N742" s="41" t="str">
        <f t="shared" ca="1" si="108"/>
        <v>Benjamim B</v>
      </c>
      <c r="O742" s="41" t="str">
        <f t="shared" si="103"/>
        <v>M</v>
      </c>
      <c r="P742" s="60" t="str">
        <f t="shared" si="104"/>
        <v>ADRAP</v>
      </c>
      <c r="Q742" s="61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3">
      <c r="A743" s="28">
        <v>2247</v>
      </c>
      <c r="B743" s="28">
        <v>158547</v>
      </c>
      <c r="C743" s="129" t="s">
        <v>1200</v>
      </c>
      <c r="D743" s="128" t="s">
        <v>97</v>
      </c>
      <c r="E743" s="128" t="s">
        <v>145</v>
      </c>
      <c r="F743" s="29">
        <v>40248</v>
      </c>
      <c r="G743" s="56" t="str">
        <f t="shared" ca="1" si="105"/>
        <v>Benjamim B</v>
      </c>
      <c r="H743" s="28">
        <f t="shared" ca="1" si="106"/>
        <v>11</v>
      </c>
      <c r="J743" s="38" t="str">
        <f t="shared" si="100"/>
        <v>Andree Abreu</v>
      </c>
      <c r="K743" s="39">
        <f t="shared" si="101"/>
        <v>2247</v>
      </c>
      <c r="L743" s="39">
        <f t="shared" si="102"/>
        <v>158547</v>
      </c>
      <c r="M743" s="40">
        <f t="shared" si="107"/>
        <v>40248</v>
      </c>
      <c r="N743" s="41" t="str">
        <f t="shared" ca="1" si="108"/>
        <v>Benjamim B</v>
      </c>
      <c r="O743" s="41" t="str">
        <f t="shared" si="103"/>
        <v>M</v>
      </c>
      <c r="P743" s="60" t="str">
        <f t="shared" si="104"/>
        <v>ADRAP</v>
      </c>
      <c r="Q743" s="61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3">
      <c r="A744" s="28">
        <v>2246</v>
      </c>
      <c r="B744" s="28">
        <v>158546</v>
      </c>
      <c r="C744" s="129" t="s">
        <v>1201</v>
      </c>
      <c r="D744" s="128" t="s">
        <v>97</v>
      </c>
      <c r="E744" s="128" t="s">
        <v>145</v>
      </c>
      <c r="F744" s="29">
        <v>40248</v>
      </c>
      <c r="G744" s="56" t="str">
        <f t="shared" ca="1" si="105"/>
        <v>Benjamim B</v>
      </c>
      <c r="H744" s="28">
        <f t="shared" ca="1" si="106"/>
        <v>11</v>
      </c>
      <c r="J744" s="38" t="str">
        <f t="shared" si="100"/>
        <v>Jesús Abreu</v>
      </c>
      <c r="K744" s="39">
        <f t="shared" si="101"/>
        <v>2246</v>
      </c>
      <c r="L744" s="39">
        <f t="shared" si="102"/>
        <v>158546</v>
      </c>
      <c r="M744" s="40">
        <f t="shared" si="107"/>
        <v>40248</v>
      </c>
      <c r="N744" s="41" t="str">
        <f t="shared" ca="1" si="108"/>
        <v>Benjamim B</v>
      </c>
      <c r="O744" s="41" t="str">
        <f t="shared" si="103"/>
        <v>M</v>
      </c>
      <c r="P744" s="60" t="str">
        <f t="shared" si="104"/>
        <v>ADRAP</v>
      </c>
      <c r="Q744" s="61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3">
      <c r="A745" s="28">
        <v>1490</v>
      </c>
      <c r="B745" s="28">
        <v>124994</v>
      </c>
      <c r="C745" s="129" t="s">
        <v>1197</v>
      </c>
      <c r="D745" s="128" t="s">
        <v>97</v>
      </c>
      <c r="E745" s="128" t="s">
        <v>145</v>
      </c>
      <c r="F745" s="29">
        <v>33983</v>
      </c>
      <c r="G745" s="56" t="str">
        <f t="shared" ca="1" si="105"/>
        <v>Sénior</v>
      </c>
      <c r="H745" s="28">
        <f t="shared" ca="1" si="106"/>
        <v>28</v>
      </c>
      <c r="J745" s="38" t="str">
        <f t="shared" si="100"/>
        <v>Gilberto Carvalho</v>
      </c>
      <c r="K745" s="39">
        <f t="shared" si="101"/>
        <v>1490</v>
      </c>
      <c r="L745" s="39">
        <f t="shared" si="102"/>
        <v>124994</v>
      </c>
      <c r="M745" s="40">
        <f t="shared" si="107"/>
        <v>33983</v>
      </c>
      <c r="N745" s="41" t="str">
        <f t="shared" ca="1" si="108"/>
        <v>Sénior</v>
      </c>
      <c r="O745" s="41" t="str">
        <f t="shared" si="103"/>
        <v>M</v>
      </c>
      <c r="P745" s="60" t="str">
        <f t="shared" si="104"/>
        <v>ADRAP</v>
      </c>
      <c r="Q745" s="61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3">
      <c r="A746" s="28">
        <v>23</v>
      </c>
      <c r="B746" s="28">
        <v>149616</v>
      </c>
      <c r="C746" s="129" t="s">
        <v>1392</v>
      </c>
      <c r="D746" s="128" t="s">
        <v>97</v>
      </c>
      <c r="E746" s="128" t="s">
        <v>146</v>
      </c>
      <c r="F746" s="29">
        <v>34655</v>
      </c>
      <c r="G746" s="56" t="str">
        <f t="shared" ca="1" si="105"/>
        <v>Sénior</v>
      </c>
      <c r="H746" s="28">
        <f t="shared" ca="1" si="106"/>
        <v>26</v>
      </c>
      <c r="J746" s="38" t="str">
        <f t="shared" si="100"/>
        <v>Djamila Tavares</v>
      </c>
      <c r="K746" s="39">
        <f t="shared" si="101"/>
        <v>23</v>
      </c>
      <c r="L746" s="39">
        <f t="shared" si="102"/>
        <v>149616</v>
      </c>
      <c r="M746" s="40">
        <f t="shared" si="107"/>
        <v>34655</v>
      </c>
      <c r="N746" s="41" t="str">
        <f t="shared" ca="1" si="108"/>
        <v>Sénior</v>
      </c>
      <c r="O746" s="41" t="str">
        <f t="shared" si="103"/>
        <v>F</v>
      </c>
      <c r="P746" s="60" t="str">
        <f t="shared" si="104"/>
        <v>ADRAP</v>
      </c>
      <c r="Q746" s="61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3">
      <c r="A747" s="28">
        <v>1162</v>
      </c>
      <c r="B747" s="28">
        <v>156697</v>
      </c>
      <c r="C747" s="129" t="s">
        <v>1307</v>
      </c>
      <c r="D747" s="128" t="s">
        <v>1069</v>
      </c>
      <c r="E747" s="128" t="s">
        <v>145</v>
      </c>
      <c r="F747" s="29">
        <v>25636</v>
      </c>
      <c r="G747" s="56" t="str">
        <f t="shared" ca="1" si="105"/>
        <v>V 50</v>
      </c>
      <c r="H747" s="28">
        <f t="shared" ca="1" si="106"/>
        <v>51</v>
      </c>
      <c r="J747" s="38" t="str">
        <f t="shared" si="100"/>
        <v>Carlos Pontes</v>
      </c>
      <c r="K747" s="39">
        <f t="shared" si="101"/>
        <v>1162</v>
      </c>
      <c r="L747" s="39">
        <f t="shared" si="102"/>
        <v>156697</v>
      </c>
      <c r="M747" s="40">
        <f t="shared" si="107"/>
        <v>25636</v>
      </c>
      <c r="N747" s="41" t="str">
        <f t="shared" ca="1" si="108"/>
        <v>V 50</v>
      </c>
      <c r="O747" s="41" t="str">
        <f t="shared" si="103"/>
        <v>M</v>
      </c>
      <c r="P747" s="60" t="str">
        <f t="shared" si="104"/>
        <v>CEOL</v>
      </c>
      <c r="Q747" s="61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3">
      <c r="A748" s="28">
        <v>153</v>
      </c>
      <c r="B748" s="28">
        <v>156704</v>
      </c>
      <c r="C748" s="129" t="s">
        <v>1304</v>
      </c>
      <c r="D748" s="128" t="s">
        <v>1069</v>
      </c>
      <c r="E748" s="128" t="s">
        <v>146</v>
      </c>
      <c r="F748" s="29">
        <v>26060</v>
      </c>
      <c r="G748" s="56" t="str">
        <f t="shared" ca="1" si="105"/>
        <v>V 45</v>
      </c>
      <c r="H748" s="28">
        <f t="shared" ca="1" si="106"/>
        <v>49</v>
      </c>
      <c r="J748" s="38" t="str">
        <f t="shared" si="100"/>
        <v>Odília Luís</v>
      </c>
      <c r="K748" s="39">
        <f t="shared" si="101"/>
        <v>153</v>
      </c>
      <c r="L748" s="39">
        <f t="shared" si="102"/>
        <v>156704</v>
      </c>
      <c r="M748" s="40">
        <f t="shared" si="107"/>
        <v>26060</v>
      </c>
      <c r="N748" s="41" t="str">
        <f t="shared" ca="1" si="108"/>
        <v>V 45</v>
      </c>
      <c r="O748" s="41" t="str">
        <f t="shared" si="103"/>
        <v>F</v>
      </c>
      <c r="P748" s="60" t="str">
        <f t="shared" si="104"/>
        <v>CEOL</v>
      </c>
      <c r="Q748" s="61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3">
      <c r="A749" s="28">
        <v>154</v>
      </c>
      <c r="B749" s="28">
        <v>156734</v>
      </c>
      <c r="C749" s="129" t="s">
        <v>1305</v>
      </c>
      <c r="D749" s="128" t="s">
        <v>1069</v>
      </c>
      <c r="E749" s="128" t="s">
        <v>146</v>
      </c>
      <c r="F749" s="29">
        <v>24519</v>
      </c>
      <c r="G749" s="56" t="str">
        <f t="shared" ca="1" si="105"/>
        <v>V 50</v>
      </c>
      <c r="H749" s="28">
        <f t="shared" ca="1" si="106"/>
        <v>54</v>
      </c>
      <c r="J749" s="38" t="str">
        <f t="shared" si="100"/>
        <v>Ana Afonso</v>
      </c>
      <c r="K749" s="39">
        <f t="shared" si="101"/>
        <v>154</v>
      </c>
      <c r="L749" s="39">
        <f t="shared" si="102"/>
        <v>156734</v>
      </c>
      <c r="M749" s="40">
        <f t="shared" si="107"/>
        <v>24519</v>
      </c>
      <c r="N749" s="41" t="str">
        <f t="shared" ca="1" si="108"/>
        <v>V 50</v>
      </c>
      <c r="O749" s="41" t="str">
        <f t="shared" si="103"/>
        <v>F</v>
      </c>
      <c r="P749" s="60" t="str">
        <f t="shared" si="104"/>
        <v>CEOL</v>
      </c>
      <c r="Q749" s="61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3">
      <c r="A750" s="28">
        <v>1164</v>
      </c>
      <c r="B750" s="28">
        <v>156711</v>
      </c>
      <c r="C750" s="129" t="s">
        <v>1306</v>
      </c>
      <c r="D750" s="128" t="s">
        <v>1069</v>
      </c>
      <c r="E750" s="128" t="s">
        <v>145</v>
      </c>
      <c r="F750" s="29">
        <v>27036</v>
      </c>
      <c r="G750" s="56" t="str">
        <f t="shared" ca="1" si="105"/>
        <v>V 45</v>
      </c>
      <c r="H750" s="28">
        <f t="shared" ca="1" si="106"/>
        <v>47</v>
      </c>
      <c r="J750" s="38" t="str">
        <f t="shared" si="100"/>
        <v>Marco Ribeiro</v>
      </c>
      <c r="K750" s="39">
        <f t="shared" si="101"/>
        <v>1164</v>
      </c>
      <c r="L750" s="39">
        <f t="shared" si="102"/>
        <v>156711</v>
      </c>
      <c r="M750" s="40">
        <f t="shared" si="107"/>
        <v>27036</v>
      </c>
      <c r="N750" s="41" t="str">
        <f t="shared" ca="1" si="108"/>
        <v>V 45</v>
      </c>
      <c r="O750" s="41" t="str">
        <f t="shared" si="103"/>
        <v>M</v>
      </c>
      <c r="P750" s="60" t="str">
        <f t="shared" si="104"/>
        <v>CEOL</v>
      </c>
      <c r="Q750" s="61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3">
      <c r="A751" s="28">
        <v>1163</v>
      </c>
      <c r="B751" s="28">
        <v>156705</v>
      </c>
      <c r="C751" s="129" t="s">
        <v>1308</v>
      </c>
      <c r="D751" s="128" t="s">
        <v>1069</v>
      </c>
      <c r="E751" s="128" t="s">
        <v>145</v>
      </c>
      <c r="F751" s="29">
        <v>27402</v>
      </c>
      <c r="G751" s="56" t="str">
        <f t="shared" ca="1" si="105"/>
        <v>V 45</v>
      </c>
      <c r="H751" s="28">
        <f t="shared" ca="1" si="106"/>
        <v>46</v>
      </c>
      <c r="J751" s="38" t="str">
        <f t="shared" si="100"/>
        <v>Manuel Henriques</v>
      </c>
      <c r="K751" s="39">
        <f t="shared" si="101"/>
        <v>1163</v>
      </c>
      <c r="L751" s="39">
        <f t="shared" si="102"/>
        <v>156705</v>
      </c>
      <c r="M751" s="40">
        <f t="shared" si="107"/>
        <v>27402</v>
      </c>
      <c r="N751" s="41" t="str">
        <f t="shared" ca="1" si="108"/>
        <v>V 45</v>
      </c>
      <c r="O751" s="41" t="str">
        <f t="shared" si="103"/>
        <v>M</v>
      </c>
      <c r="P751" s="60" t="str">
        <f t="shared" si="104"/>
        <v>CEOL</v>
      </c>
      <c r="Q751" s="6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3">
      <c r="A752" s="28">
        <v>1529</v>
      </c>
      <c r="B752" s="28">
        <v>145683</v>
      </c>
      <c r="C752" s="129" t="s">
        <v>710</v>
      </c>
      <c r="D752" s="128" t="s">
        <v>1236</v>
      </c>
      <c r="E752" s="128" t="s">
        <v>145</v>
      </c>
      <c r="F752" s="29">
        <v>28054</v>
      </c>
      <c r="G752" s="56" t="str">
        <f t="shared" ca="1" si="105"/>
        <v>V 40</v>
      </c>
      <c r="H752" s="28">
        <f t="shared" ca="1" si="106"/>
        <v>44</v>
      </c>
      <c r="J752" s="38" t="str">
        <f t="shared" si="100"/>
        <v>Dinarte Vieira</v>
      </c>
      <c r="K752" s="39">
        <f t="shared" si="101"/>
        <v>1529</v>
      </c>
      <c r="L752" s="39">
        <f t="shared" si="102"/>
        <v>145683</v>
      </c>
      <c r="M752" s="40">
        <f t="shared" si="107"/>
        <v>28054</v>
      </c>
      <c r="N752" s="41" t="str">
        <f t="shared" ca="1" si="108"/>
        <v>V 40</v>
      </c>
      <c r="O752" s="41" t="str">
        <f t="shared" si="103"/>
        <v>M</v>
      </c>
      <c r="P752" s="60" t="str">
        <f t="shared" si="104"/>
        <v>ADC</v>
      </c>
      <c r="Q752" s="61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3">
      <c r="A753" s="28">
        <v>13</v>
      </c>
      <c r="B753" s="28">
        <v>127852</v>
      </c>
      <c r="C753" s="129" t="s">
        <v>492</v>
      </c>
      <c r="D753" s="128" t="s">
        <v>1236</v>
      </c>
      <c r="E753" s="128" t="s">
        <v>146</v>
      </c>
      <c r="F753" s="29">
        <v>24926</v>
      </c>
      <c r="G753" s="56" t="str">
        <f t="shared" ca="1" si="105"/>
        <v>V 50</v>
      </c>
      <c r="H753" s="28">
        <f t="shared" ca="1" si="106"/>
        <v>53</v>
      </c>
      <c r="J753" s="38" t="str">
        <f t="shared" si="100"/>
        <v>Ilda André</v>
      </c>
      <c r="K753" s="39">
        <f t="shared" si="101"/>
        <v>13</v>
      </c>
      <c r="L753" s="39">
        <f t="shared" si="102"/>
        <v>127852</v>
      </c>
      <c r="M753" s="40">
        <f t="shared" si="107"/>
        <v>24926</v>
      </c>
      <c r="N753" s="41" t="str">
        <f t="shared" ca="1" si="108"/>
        <v>V 50</v>
      </c>
      <c r="O753" s="41" t="str">
        <f t="shared" si="103"/>
        <v>F</v>
      </c>
      <c r="P753" s="60" t="str">
        <f t="shared" si="104"/>
        <v>ADC</v>
      </c>
      <c r="Q753" s="61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3">
      <c r="A754" s="28">
        <v>1521</v>
      </c>
      <c r="B754" s="28">
        <v>127847</v>
      </c>
      <c r="C754" s="129" t="s">
        <v>506</v>
      </c>
      <c r="D754" s="128" t="s">
        <v>1236</v>
      </c>
      <c r="E754" s="128" t="s">
        <v>145</v>
      </c>
      <c r="F754" s="29">
        <v>24165</v>
      </c>
      <c r="G754" s="56" t="str">
        <f t="shared" ca="1" si="105"/>
        <v>V 55</v>
      </c>
      <c r="H754" s="28">
        <f t="shared" ca="1" si="106"/>
        <v>55</v>
      </c>
      <c r="J754" s="38" t="str">
        <f t="shared" si="100"/>
        <v>Eusébio André</v>
      </c>
      <c r="K754" s="39">
        <f t="shared" si="101"/>
        <v>1521</v>
      </c>
      <c r="L754" s="39">
        <f t="shared" si="102"/>
        <v>127847</v>
      </c>
      <c r="M754" s="40">
        <f t="shared" si="107"/>
        <v>24165</v>
      </c>
      <c r="N754" s="41" t="str">
        <f t="shared" ca="1" si="108"/>
        <v>V 55</v>
      </c>
      <c r="O754" s="41" t="str">
        <f t="shared" si="103"/>
        <v>M</v>
      </c>
      <c r="P754" s="60" t="str">
        <f t="shared" si="104"/>
        <v>ADC</v>
      </c>
      <c r="Q754" s="61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3">
      <c r="A755" s="28">
        <v>1526</v>
      </c>
      <c r="B755" s="28">
        <v>132524</v>
      </c>
      <c r="C755" s="129" t="s">
        <v>707</v>
      </c>
      <c r="D755" s="128" t="s">
        <v>1236</v>
      </c>
      <c r="E755" s="128" t="s">
        <v>145</v>
      </c>
      <c r="F755" s="29">
        <v>26411</v>
      </c>
      <c r="G755" s="56" t="str">
        <f t="shared" ca="1" si="105"/>
        <v>V 45</v>
      </c>
      <c r="H755" s="28">
        <f t="shared" ca="1" si="106"/>
        <v>48</v>
      </c>
      <c r="J755" s="38" t="str">
        <f t="shared" si="100"/>
        <v>Francisco Sampaio</v>
      </c>
      <c r="K755" s="39">
        <f t="shared" si="101"/>
        <v>1526</v>
      </c>
      <c r="L755" s="39">
        <f t="shared" si="102"/>
        <v>132524</v>
      </c>
      <c r="M755" s="40">
        <f t="shared" si="107"/>
        <v>26411</v>
      </c>
      <c r="N755" s="41" t="str">
        <f t="shared" ca="1" si="108"/>
        <v>V 45</v>
      </c>
      <c r="O755" s="41" t="str">
        <f t="shared" si="103"/>
        <v>M</v>
      </c>
      <c r="P755" s="60" t="str">
        <f t="shared" si="104"/>
        <v>ADC</v>
      </c>
      <c r="Q755" s="61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3">
      <c r="A756" s="28">
        <v>11</v>
      </c>
      <c r="B756" s="28">
        <v>138858</v>
      </c>
      <c r="C756" s="129" t="s">
        <v>863</v>
      </c>
      <c r="D756" s="128" t="s">
        <v>1236</v>
      </c>
      <c r="E756" s="128" t="s">
        <v>146</v>
      </c>
      <c r="F756" s="29">
        <v>26915</v>
      </c>
      <c r="G756" s="56" t="str">
        <f t="shared" ca="1" si="105"/>
        <v>V 45</v>
      </c>
      <c r="H756" s="28">
        <f t="shared" ca="1" si="106"/>
        <v>47</v>
      </c>
      <c r="J756" s="38" t="str">
        <f t="shared" si="100"/>
        <v>Sancha Campanella</v>
      </c>
      <c r="K756" s="39">
        <f t="shared" si="101"/>
        <v>11</v>
      </c>
      <c r="L756" s="39">
        <f t="shared" si="102"/>
        <v>138858</v>
      </c>
      <c r="M756" s="40">
        <f t="shared" si="107"/>
        <v>26915</v>
      </c>
      <c r="N756" s="41" t="str">
        <f t="shared" ca="1" si="108"/>
        <v>V 45</v>
      </c>
      <c r="O756" s="41" t="str">
        <f t="shared" si="103"/>
        <v>F</v>
      </c>
      <c r="P756" s="60" t="str">
        <f t="shared" si="104"/>
        <v>ADC</v>
      </c>
      <c r="Q756" s="61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3">
      <c r="A757" s="28">
        <v>1525</v>
      </c>
      <c r="B757" s="28">
        <v>152952</v>
      </c>
      <c r="C757" s="129" t="s">
        <v>866</v>
      </c>
      <c r="D757" s="128" t="s">
        <v>1236</v>
      </c>
      <c r="E757" s="128" t="s">
        <v>145</v>
      </c>
      <c r="F757" s="29">
        <v>25986</v>
      </c>
      <c r="G757" s="56" t="str">
        <f t="shared" ca="1" si="105"/>
        <v>V 50</v>
      </c>
      <c r="H757" s="28">
        <f t="shared" ca="1" si="106"/>
        <v>50</v>
      </c>
      <c r="J757" s="38" t="str">
        <f t="shared" si="100"/>
        <v>E. Miguel Gouveia</v>
      </c>
      <c r="K757" s="39">
        <f t="shared" si="101"/>
        <v>1525</v>
      </c>
      <c r="L757" s="39">
        <f t="shared" si="102"/>
        <v>152952</v>
      </c>
      <c r="M757" s="40">
        <f t="shared" si="107"/>
        <v>25986</v>
      </c>
      <c r="N757" s="41" t="str">
        <f t="shared" ca="1" si="108"/>
        <v>V 50</v>
      </c>
      <c r="O757" s="41" t="str">
        <f t="shared" si="103"/>
        <v>M</v>
      </c>
      <c r="P757" s="60" t="str">
        <f t="shared" si="104"/>
        <v>ADC</v>
      </c>
      <c r="Q757" s="61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3">
      <c r="A758" s="28">
        <v>1532</v>
      </c>
      <c r="B758" s="28">
        <v>146311</v>
      </c>
      <c r="C758" s="129" t="s">
        <v>709</v>
      </c>
      <c r="D758" s="128" t="s">
        <v>1236</v>
      </c>
      <c r="E758" s="128" t="s">
        <v>145</v>
      </c>
      <c r="F758" s="29">
        <v>30450</v>
      </c>
      <c r="G758" s="56" t="str">
        <f t="shared" ca="1" si="105"/>
        <v>V 35</v>
      </c>
      <c r="H758" s="28">
        <f t="shared" ca="1" si="106"/>
        <v>37</v>
      </c>
      <c r="J758" s="38" t="str">
        <f t="shared" si="100"/>
        <v>Rui Pinto</v>
      </c>
      <c r="K758" s="39">
        <f t="shared" si="101"/>
        <v>1532</v>
      </c>
      <c r="L758" s="39">
        <f t="shared" si="102"/>
        <v>146311</v>
      </c>
      <c r="M758" s="40">
        <f t="shared" si="107"/>
        <v>30450</v>
      </c>
      <c r="N758" s="41" t="str">
        <f t="shared" ca="1" si="108"/>
        <v>V 35</v>
      </c>
      <c r="O758" s="41" t="str">
        <f t="shared" si="103"/>
        <v>M</v>
      </c>
      <c r="P758" s="60" t="str">
        <f t="shared" si="104"/>
        <v>ADC</v>
      </c>
      <c r="Q758" s="61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3">
      <c r="A759" s="28">
        <v>1520</v>
      </c>
      <c r="B759" s="28">
        <v>151873</v>
      </c>
      <c r="C759" s="129" t="s">
        <v>865</v>
      </c>
      <c r="D759" s="128" t="s">
        <v>1236</v>
      </c>
      <c r="E759" s="128" t="s">
        <v>145</v>
      </c>
      <c r="F759" s="29">
        <v>24263</v>
      </c>
      <c r="G759" s="56" t="str">
        <f t="shared" ca="1" si="105"/>
        <v>V 50</v>
      </c>
      <c r="H759" s="28">
        <f t="shared" ca="1" si="106"/>
        <v>54</v>
      </c>
      <c r="J759" s="38" t="str">
        <f t="shared" si="100"/>
        <v>Eduardo Raposo</v>
      </c>
      <c r="K759" s="39">
        <f t="shared" si="101"/>
        <v>1520</v>
      </c>
      <c r="L759" s="39">
        <f t="shared" si="102"/>
        <v>151873</v>
      </c>
      <c r="M759" s="40">
        <f t="shared" si="107"/>
        <v>24263</v>
      </c>
      <c r="N759" s="41" t="str">
        <f t="shared" ca="1" si="108"/>
        <v>V 50</v>
      </c>
      <c r="O759" s="41" t="str">
        <f t="shared" si="103"/>
        <v>M</v>
      </c>
      <c r="P759" s="60" t="str">
        <f t="shared" si="104"/>
        <v>ADC</v>
      </c>
      <c r="Q759" s="61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3">
      <c r="A760" s="28">
        <v>1524</v>
      </c>
      <c r="B760" s="28">
        <v>145900</v>
      </c>
      <c r="C760" s="129" t="s">
        <v>711</v>
      </c>
      <c r="D760" s="128" t="s">
        <v>1236</v>
      </c>
      <c r="E760" s="128" t="s">
        <v>145</v>
      </c>
      <c r="F760" s="29">
        <v>26195</v>
      </c>
      <c r="G760" s="56" t="str">
        <f t="shared" ca="1" si="105"/>
        <v>V 45</v>
      </c>
      <c r="H760" s="28">
        <f t="shared" ca="1" si="106"/>
        <v>49</v>
      </c>
      <c r="J760" s="38" t="str">
        <f t="shared" si="100"/>
        <v>Paulo Sérgio Silva</v>
      </c>
      <c r="K760" s="39">
        <f t="shared" si="101"/>
        <v>1524</v>
      </c>
      <c r="L760" s="39">
        <f t="shared" si="102"/>
        <v>145900</v>
      </c>
      <c r="M760" s="40">
        <f t="shared" si="107"/>
        <v>26195</v>
      </c>
      <c r="N760" s="41" t="str">
        <f t="shared" ca="1" si="108"/>
        <v>V 45</v>
      </c>
      <c r="O760" s="41" t="str">
        <f t="shared" si="103"/>
        <v>M</v>
      </c>
      <c r="P760" s="60" t="str">
        <f t="shared" si="104"/>
        <v>ADC</v>
      </c>
      <c r="Q760" s="61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3">
      <c r="A761" s="28">
        <v>1528</v>
      </c>
      <c r="B761" s="28">
        <v>146462</v>
      </c>
      <c r="C761" s="129" t="s">
        <v>615</v>
      </c>
      <c r="D761" s="128" t="s">
        <v>1236</v>
      </c>
      <c r="E761" s="128" t="s">
        <v>145</v>
      </c>
      <c r="F761" s="29">
        <v>28144</v>
      </c>
      <c r="G761" s="56" t="str">
        <f t="shared" ca="1" si="105"/>
        <v>V 40</v>
      </c>
      <c r="H761" s="28">
        <f t="shared" ca="1" si="106"/>
        <v>44</v>
      </c>
      <c r="J761" s="38" t="str">
        <f t="shared" si="100"/>
        <v>Marco Oliveira</v>
      </c>
      <c r="K761" s="39">
        <f t="shared" si="101"/>
        <v>1528</v>
      </c>
      <c r="L761" s="39">
        <f t="shared" si="102"/>
        <v>146462</v>
      </c>
      <c r="M761" s="40">
        <f t="shared" si="107"/>
        <v>28144</v>
      </c>
      <c r="N761" s="41" t="str">
        <f t="shared" ca="1" si="108"/>
        <v>V 40</v>
      </c>
      <c r="O761" s="41" t="str">
        <f t="shared" si="103"/>
        <v>M</v>
      </c>
      <c r="P761" s="60" t="str">
        <f t="shared" si="104"/>
        <v>ADC</v>
      </c>
      <c r="Q761" s="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3">
      <c r="A762" s="28">
        <v>1523</v>
      </c>
      <c r="B762" s="28">
        <v>145684</v>
      </c>
      <c r="C762" s="129" t="s">
        <v>759</v>
      </c>
      <c r="D762" s="128" t="s">
        <v>1236</v>
      </c>
      <c r="E762" s="128" t="s">
        <v>145</v>
      </c>
      <c r="F762" s="29">
        <v>26711</v>
      </c>
      <c r="G762" s="56" t="str">
        <f t="shared" ca="1" si="105"/>
        <v>V 45</v>
      </c>
      <c r="H762" s="28">
        <f t="shared" ca="1" si="106"/>
        <v>48</v>
      </c>
      <c r="J762" s="38" t="str">
        <f t="shared" si="100"/>
        <v>Paulo Gomes</v>
      </c>
      <c r="K762" s="39">
        <f t="shared" si="101"/>
        <v>1523</v>
      </c>
      <c r="L762" s="39">
        <f t="shared" si="102"/>
        <v>145684</v>
      </c>
      <c r="M762" s="40">
        <f t="shared" si="107"/>
        <v>26711</v>
      </c>
      <c r="N762" s="41" t="str">
        <f t="shared" ca="1" si="108"/>
        <v>V 45</v>
      </c>
      <c r="O762" s="41" t="str">
        <f t="shared" si="103"/>
        <v>M</v>
      </c>
      <c r="P762" s="60" t="str">
        <f t="shared" si="104"/>
        <v>ADC</v>
      </c>
      <c r="Q762" s="61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3">
      <c r="A763" s="28">
        <v>1531</v>
      </c>
      <c r="B763" s="28">
        <v>162639</v>
      </c>
      <c r="C763" s="129" t="s">
        <v>1404</v>
      </c>
      <c r="D763" s="128" t="s">
        <v>1236</v>
      </c>
      <c r="E763" s="128" t="s">
        <v>145</v>
      </c>
      <c r="F763" s="29">
        <v>30348</v>
      </c>
      <c r="G763" s="56" t="str">
        <f t="shared" ca="1" si="105"/>
        <v>V 35</v>
      </c>
      <c r="H763" s="28">
        <f t="shared" ca="1" si="106"/>
        <v>38</v>
      </c>
      <c r="J763" s="38" t="str">
        <f t="shared" si="100"/>
        <v>Rúben Alves</v>
      </c>
      <c r="K763" s="39">
        <f t="shared" si="101"/>
        <v>1531</v>
      </c>
      <c r="L763" s="39">
        <f t="shared" si="102"/>
        <v>162639</v>
      </c>
      <c r="M763" s="40">
        <f t="shared" si="107"/>
        <v>30348</v>
      </c>
      <c r="N763" s="41" t="str">
        <f t="shared" ca="1" si="108"/>
        <v>V 35</v>
      </c>
      <c r="O763" s="41" t="str">
        <f t="shared" si="103"/>
        <v>M</v>
      </c>
      <c r="P763" s="60" t="str">
        <f t="shared" si="104"/>
        <v>ADC</v>
      </c>
      <c r="Q763" s="61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3">
      <c r="A764" s="28">
        <v>9</v>
      </c>
      <c r="B764" s="28">
        <v>151801</v>
      </c>
      <c r="C764" s="129" t="s">
        <v>805</v>
      </c>
      <c r="D764" s="128" t="s">
        <v>1236</v>
      </c>
      <c r="E764" s="128" t="s">
        <v>146</v>
      </c>
      <c r="F764" s="29">
        <v>29772</v>
      </c>
      <c r="G764" s="56" t="str">
        <f t="shared" ca="1" si="105"/>
        <v>V 35</v>
      </c>
      <c r="H764" s="28">
        <f t="shared" ca="1" si="106"/>
        <v>39</v>
      </c>
      <c r="J764" s="38" t="str">
        <f t="shared" si="100"/>
        <v>Ana Cruz</v>
      </c>
      <c r="K764" s="39">
        <f t="shared" si="101"/>
        <v>9</v>
      </c>
      <c r="L764" s="39">
        <f t="shared" si="102"/>
        <v>151801</v>
      </c>
      <c r="M764" s="40">
        <f t="shared" si="107"/>
        <v>29772</v>
      </c>
      <c r="N764" s="41" t="str">
        <f t="shared" ca="1" si="108"/>
        <v>V 35</v>
      </c>
      <c r="O764" s="41" t="str">
        <f t="shared" si="103"/>
        <v>F</v>
      </c>
      <c r="P764" s="60" t="str">
        <f t="shared" si="104"/>
        <v>ADC</v>
      </c>
      <c r="Q764" s="61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3">
      <c r="A765" s="28">
        <v>971</v>
      </c>
      <c r="B765" s="28">
        <v>147272</v>
      </c>
      <c r="C765" s="129" t="s">
        <v>604</v>
      </c>
      <c r="D765" s="128" t="s">
        <v>148</v>
      </c>
      <c r="E765" s="128" t="s">
        <v>145</v>
      </c>
      <c r="F765" s="29">
        <v>30341</v>
      </c>
      <c r="G765" s="56" t="str">
        <f t="shared" ca="1" si="105"/>
        <v>V 35</v>
      </c>
      <c r="H765" s="28">
        <f t="shared" ca="1" si="106"/>
        <v>38</v>
      </c>
      <c r="J765" s="38" t="str">
        <f t="shared" si="100"/>
        <v>Ricardo Faria</v>
      </c>
      <c r="K765" s="39">
        <f t="shared" si="101"/>
        <v>971</v>
      </c>
      <c r="L765" s="39">
        <f t="shared" si="102"/>
        <v>147272</v>
      </c>
      <c r="M765" s="40">
        <f t="shared" si="107"/>
        <v>30341</v>
      </c>
      <c r="N765" s="41" t="str">
        <f t="shared" ca="1" si="108"/>
        <v>V 35</v>
      </c>
      <c r="O765" s="41" t="str">
        <f t="shared" si="103"/>
        <v>M</v>
      </c>
      <c r="P765" s="60" t="str">
        <f t="shared" si="104"/>
        <v>IND-M</v>
      </c>
      <c r="Q765" s="61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3">
      <c r="A766" s="28">
        <v>6</v>
      </c>
      <c r="B766" s="28">
        <v>151132</v>
      </c>
      <c r="C766" s="129" t="s">
        <v>797</v>
      </c>
      <c r="D766" s="128" t="s">
        <v>1236</v>
      </c>
      <c r="E766" s="128" t="s">
        <v>146</v>
      </c>
      <c r="F766" s="29">
        <v>31816</v>
      </c>
      <c r="G766" s="56" t="str">
        <f t="shared" ca="1" si="105"/>
        <v>Sénior</v>
      </c>
      <c r="H766" s="28">
        <f t="shared" ca="1" si="106"/>
        <v>34</v>
      </c>
      <c r="J766" s="38" t="str">
        <f t="shared" si="100"/>
        <v>Janete Garcês</v>
      </c>
      <c r="K766" s="39">
        <f t="shared" si="101"/>
        <v>6</v>
      </c>
      <c r="L766" s="39">
        <f t="shared" si="102"/>
        <v>151132</v>
      </c>
      <c r="M766" s="40">
        <f t="shared" si="107"/>
        <v>31816</v>
      </c>
      <c r="N766" s="41" t="str">
        <f t="shared" ca="1" si="108"/>
        <v>Sénior</v>
      </c>
      <c r="O766" s="41" t="str">
        <f t="shared" si="103"/>
        <v>F</v>
      </c>
      <c r="P766" s="60" t="str">
        <f t="shared" si="104"/>
        <v>ADC</v>
      </c>
      <c r="Q766" s="61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3">
      <c r="A767" s="28">
        <v>1267</v>
      </c>
      <c r="B767" s="28">
        <v>135967</v>
      </c>
      <c r="C767" s="129" t="s">
        <v>1339</v>
      </c>
      <c r="D767" s="128" t="s">
        <v>171</v>
      </c>
      <c r="E767" s="128" t="s">
        <v>145</v>
      </c>
      <c r="F767" s="29">
        <v>32364</v>
      </c>
      <c r="G767" s="56" t="str">
        <f t="shared" ca="1" si="105"/>
        <v>Sénior</v>
      </c>
      <c r="H767" s="28">
        <f t="shared" ca="1" si="106"/>
        <v>32</v>
      </c>
      <c r="J767" s="38" t="str">
        <f t="shared" si="100"/>
        <v>Élvio Rodrigues</v>
      </c>
      <c r="K767" s="39">
        <f t="shared" si="101"/>
        <v>1267</v>
      </c>
      <c r="L767" s="39">
        <f t="shared" si="102"/>
        <v>135967</v>
      </c>
      <c r="M767" s="40">
        <f t="shared" si="107"/>
        <v>32364</v>
      </c>
      <c r="N767" s="41" t="str">
        <f t="shared" ca="1" si="108"/>
        <v>Sénior</v>
      </c>
      <c r="O767" s="41" t="str">
        <f t="shared" si="103"/>
        <v>M</v>
      </c>
      <c r="P767" s="60" t="str">
        <f t="shared" si="104"/>
        <v>CDES</v>
      </c>
      <c r="Q767" s="61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3">
      <c r="A768" s="28">
        <v>1040</v>
      </c>
      <c r="B768" s="28">
        <v>148861</v>
      </c>
      <c r="C768" s="129" t="s">
        <v>760</v>
      </c>
      <c r="D768" s="128" t="s">
        <v>1079</v>
      </c>
      <c r="E768" s="128" t="s">
        <v>145</v>
      </c>
      <c r="F768" s="29">
        <v>31292</v>
      </c>
      <c r="G768" s="56" t="str">
        <f t="shared" ca="1" si="105"/>
        <v>V 35</v>
      </c>
      <c r="H768" s="28">
        <f t="shared" ca="1" si="106"/>
        <v>35</v>
      </c>
      <c r="J768" s="38" t="str">
        <f t="shared" si="100"/>
        <v>Fábio Martins</v>
      </c>
      <c r="K768" s="39">
        <f t="shared" si="101"/>
        <v>1040</v>
      </c>
      <c r="L768" s="39">
        <f t="shared" si="102"/>
        <v>148861</v>
      </c>
      <c r="M768" s="40">
        <f t="shared" si="107"/>
        <v>31292</v>
      </c>
      <c r="N768" s="41" t="str">
        <f t="shared" ca="1" si="108"/>
        <v>V 35</v>
      </c>
      <c r="O768" s="41" t="str">
        <f t="shared" si="103"/>
        <v>M</v>
      </c>
      <c r="P768" s="60" t="str">
        <f t="shared" si="104"/>
        <v>CSJG</v>
      </c>
      <c r="Q768" s="61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3">
      <c r="A769" s="28">
        <v>1042</v>
      </c>
      <c r="B769" s="28">
        <v>158076</v>
      </c>
      <c r="C769" s="129" t="s">
        <v>1169</v>
      </c>
      <c r="D769" s="128" t="s">
        <v>1079</v>
      </c>
      <c r="E769" s="128" t="s">
        <v>145</v>
      </c>
      <c r="F769" s="29">
        <v>32543</v>
      </c>
      <c r="G769" s="56" t="str">
        <f t="shared" ca="1" si="105"/>
        <v>Sénior</v>
      </c>
      <c r="H769" s="28">
        <f t="shared" ca="1" si="106"/>
        <v>32</v>
      </c>
      <c r="J769" s="38" t="str">
        <f t="shared" si="100"/>
        <v>Flávio Sousa</v>
      </c>
      <c r="K769" s="39">
        <f t="shared" si="101"/>
        <v>1042</v>
      </c>
      <c r="L769" s="39">
        <f t="shared" si="102"/>
        <v>158076</v>
      </c>
      <c r="M769" s="40">
        <f t="shared" si="107"/>
        <v>32543</v>
      </c>
      <c r="N769" s="41" t="str">
        <f t="shared" ca="1" si="108"/>
        <v>Sénior</v>
      </c>
      <c r="O769" s="41" t="str">
        <f t="shared" si="103"/>
        <v>M</v>
      </c>
      <c r="P769" s="60" t="str">
        <f t="shared" si="104"/>
        <v>CSJG</v>
      </c>
      <c r="Q769" s="61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3">
      <c r="A770" s="28">
        <v>1390</v>
      </c>
      <c r="B770" s="28">
        <v>155125</v>
      </c>
      <c r="C770" s="129" t="s">
        <v>1057</v>
      </c>
      <c r="D770" s="128" t="s">
        <v>509</v>
      </c>
      <c r="E770" s="128" t="s">
        <v>145</v>
      </c>
      <c r="F770" s="29">
        <v>28043</v>
      </c>
      <c r="G770" s="56" t="str">
        <f t="shared" ca="1" si="105"/>
        <v>V 40</v>
      </c>
      <c r="H770" s="28">
        <f t="shared" ca="1" si="106"/>
        <v>44</v>
      </c>
      <c r="J770" s="38" t="str">
        <f t="shared" ref="J770:J833" si="109">C770</f>
        <v>Décio Pinto</v>
      </c>
      <c r="K770" s="39">
        <f t="shared" ref="K770:K833" si="110">A770</f>
        <v>1390</v>
      </c>
      <c r="L770" s="39">
        <f t="shared" ref="L770:L833" si="111">B770</f>
        <v>155125</v>
      </c>
      <c r="M770" s="40">
        <f t="shared" si="107"/>
        <v>28043</v>
      </c>
      <c r="N770" s="41" t="str">
        <f t="shared" ca="1" si="108"/>
        <v>V 40</v>
      </c>
      <c r="O770" s="41" t="str">
        <f t="shared" ref="O770:O833" si="112">E770</f>
        <v>M</v>
      </c>
      <c r="P770" s="60" t="str">
        <f t="shared" ref="P770:P833" si="113">D770</f>
        <v>APCTT</v>
      </c>
      <c r="Q770" s="61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3">
      <c r="A771" s="28">
        <v>1376</v>
      </c>
      <c r="B771" s="28">
        <v>157688</v>
      </c>
      <c r="C771" s="129" t="s">
        <v>1127</v>
      </c>
      <c r="D771" s="128" t="s">
        <v>509</v>
      </c>
      <c r="E771" s="128" t="s">
        <v>145</v>
      </c>
      <c r="F771" s="29">
        <v>24343</v>
      </c>
      <c r="G771" s="5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B",IF(YEAR(TODAY())-YEAR(F771)&lt;14,"Infantil",IF(YEAR(TODAY())-YEAR(F771)&lt;16,"Iniciado",IF(YEAR(TODAY())-YEAR(F771)&lt;18,"Juvenil",IF(YEAR(TODAY())-YEAR(F771)&lt;20,"Júnior",IF(YEAR(TODAY())-YEAR(F771)&lt;23,"sub 23",IF(ROUNDDOWN(INT(TODAY()-F771)/365.25,0)&lt;35,"Sénior",IF(ROUNDDOWN(INT(TODAY()-F771)/365.25,0)&lt;40,"V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65",IF(ROUNDDOWN(INT(TODAY()-F771)/365.25,0)&lt;75,"V 70",IF(ROUNDDOWN(INT(TODAY()-F771)/365.25,0)&lt;80,"V 75",IF(ROUNDDOWN(INT(TODAY()-F771)/365.25,0)&lt;85,"V 80",IF(ROUNDDOWN(INT(TODAY()-F771)/365.25,0)&lt;90,"V 85",IF(ROUNDDOWN(INT(TODAY()-F771)/365.25,0)&lt;95,"V 90",IF(ROUNDDOWN(INT(TODAY()-F771)/365.25,0)&lt;100,"V 95",IF(ROUNDDOWN(INT(TODAY()-F771)/365.25,0)&gt;=100,"V 100",""))))))))))))))))))))))),"")</f>
        <v>V 50</v>
      </c>
      <c r="H771" s="28">
        <f t="shared" ref="H771:H834" ca="1" si="115">IFERROR(IF($A771&gt;0,ROUNDDOWN(INT(TODAY()-F771)/365.25,0),""),"")</f>
        <v>54</v>
      </c>
      <c r="J771" s="38" t="str">
        <f t="shared" si="109"/>
        <v>Jaime A. Silva</v>
      </c>
      <c r="K771" s="39">
        <f t="shared" si="110"/>
        <v>1376</v>
      </c>
      <c r="L771" s="39">
        <f t="shared" si="111"/>
        <v>157688</v>
      </c>
      <c r="M771" s="40">
        <f t="shared" ref="M771:M834" si="116">F771</f>
        <v>24343</v>
      </c>
      <c r="N771" s="41" t="str">
        <f t="shared" ref="N771:N834" ca="1" si="117">G771</f>
        <v>V 50</v>
      </c>
      <c r="O771" s="41" t="str">
        <f t="shared" si="112"/>
        <v>M</v>
      </c>
      <c r="P771" s="60" t="str">
        <f t="shared" si="113"/>
        <v>APCTT</v>
      </c>
      <c r="Q771" s="6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3">
      <c r="A772" s="28">
        <v>64</v>
      </c>
      <c r="B772" s="28">
        <v>157489</v>
      </c>
      <c r="C772" s="129" t="s">
        <v>1084</v>
      </c>
      <c r="D772" s="128" t="s">
        <v>509</v>
      </c>
      <c r="E772" s="128" t="s">
        <v>146</v>
      </c>
      <c r="F772" s="29">
        <v>27894</v>
      </c>
      <c r="G772" s="56" t="str">
        <f t="shared" ca="1" si="114"/>
        <v>V 40</v>
      </c>
      <c r="H772" s="28">
        <f t="shared" ca="1" si="115"/>
        <v>44</v>
      </c>
      <c r="J772" s="38" t="str">
        <f t="shared" si="109"/>
        <v>Marta Domingos</v>
      </c>
      <c r="K772" s="39">
        <f t="shared" si="110"/>
        <v>64</v>
      </c>
      <c r="L772" s="39">
        <f t="shared" si="111"/>
        <v>157489</v>
      </c>
      <c r="M772" s="40">
        <f t="shared" si="116"/>
        <v>27894</v>
      </c>
      <c r="N772" s="41" t="str">
        <f t="shared" ca="1" si="117"/>
        <v>V 40</v>
      </c>
      <c r="O772" s="41" t="str">
        <f t="shared" si="112"/>
        <v>F</v>
      </c>
      <c r="P772" s="60" t="str">
        <f t="shared" si="113"/>
        <v>APCTT</v>
      </c>
      <c r="Q772" s="61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3">
      <c r="A773" s="28">
        <v>1389</v>
      </c>
      <c r="B773" s="28">
        <v>157560</v>
      </c>
      <c r="C773" s="129" t="s">
        <v>1126</v>
      </c>
      <c r="D773" s="128" t="s">
        <v>509</v>
      </c>
      <c r="E773" s="128" t="s">
        <v>145</v>
      </c>
      <c r="F773" s="29">
        <v>27950</v>
      </c>
      <c r="G773" s="56" t="str">
        <f t="shared" ca="1" si="114"/>
        <v>V 40</v>
      </c>
      <c r="H773" s="28">
        <f t="shared" ca="1" si="115"/>
        <v>44</v>
      </c>
      <c r="J773" s="38" t="str">
        <f t="shared" si="109"/>
        <v>Filipe Câmara</v>
      </c>
      <c r="K773" s="39">
        <f t="shared" si="110"/>
        <v>1389</v>
      </c>
      <c r="L773" s="39">
        <f t="shared" si="111"/>
        <v>157560</v>
      </c>
      <c r="M773" s="40">
        <f t="shared" si="116"/>
        <v>27950</v>
      </c>
      <c r="N773" s="41" t="str">
        <f t="shared" ca="1" si="117"/>
        <v>V 40</v>
      </c>
      <c r="O773" s="41" t="str">
        <f t="shared" si="112"/>
        <v>M</v>
      </c>
      <c r="P773" s="60" t="str">
        <f t="shared" si="113"/>
        <v>APCTT</v>
      </c>
      <c r="Q773" s="61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3">
      <c r="A774" s="28">
        <v>2241</v>
      </c>
      <c r="B774" s="28">
        <v>157767</v>
      </c>
      <c r="C774" s="129" t="s">
        <v>1128</v>
      </c>
      <c r="D774" s="128" t="s">
        <v>509</v>
      </c>
      <c r="E774" s="128" t="s">
        <v>145</v>
      </c>
      <c r="F774" s="29">
        <v>40215</v>
      </c>
      <c r="G774" s="56" t="str">
        <f t="shared" ca="1" si="114"/>
        <v>Benjamim B</v>
      </c>
      <c r="H774" s="28">
        <f t="shared" ca="1" si="115"/>
        <v>11</v>
      </c>
      <c r="J774" s="38" t="str">
        <f t="shared" si="109"/>
        <v>Simão Câmara</v>
      </c>
      <c r="K774" s="39">
        <f t="shared" si="110"/>
        <v>2241</v>
      </c>
      <c r="L774" s="39">
        <f t="shared" si="111"/>
        <v>157767</v>
      </c>
      <c r="M774" s="40">
        <f t="shared" si="116"/>
        <v>40215</v>
      </c>
      <c r="N774" s="41" t="str">
        <f t="shared" ca="1" si="117"/>
        <v>Benjamim B</v>
      </c>
      <c r="O774" s="41" t="str">
        <f t="shared" si="112"/>
        <v>M</v>
      </c>
      <c r="P774" s="60" t="str">
        <f t="shared" si="113"/>
        <v>APCTT</v>
      </c>
      <c r="Q774" s="61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3">
      <c r="A775" s="28">
        <v>1141</v>
      </c>
      <c r="B775" s="28">
        <v>124762</v>
      </c>
      <c r="C775" s="129" t="s">
        <v>113</v>
      </c>
      <c r="D775" s="128" t="s">
        <v>169</v>
      </c>
      <c r="E775" s="128" t="s">
        <v>145</v>
      </c>
      <c r="F775" s="29">
        <v>27110</v>
      </c>
      <c r="G775" s="56" t="str">
        <f t="shared" ca="1" si="114"/>
        <v>V 45</v>
      </c>
      <c r="H775" s="28">
        <f t="shared" ca="1" si="115"/>
        <v>47</v>
      </c>
      <c r="J775" s="38" t="str">
        <f t="shared" si="109"/>
        <v>João A. Freitas</v>
      </c>
      <c r="K775" s="39">
        <f t="shared" si="110"/>
        <v>1141</v>
      </c>
      <c r="L775" s="39">
        <f t="shared" si="111"/>
        <v>124762</v>
      </c>
      <c r="M775" s="40">
        <f t="shared" si="116"/>
        <v>27110</v>
      </c>
      <c r="N775" s="41" t="str">
        <f t="shared" ca="1" si="117"/>
        <v>V 45</v>
      </c>
      <c r="O775" s="41" t="str">
        <f t="shared" si="112"/>
        <v>M</v>
      </c>
      <c r="P775" s="60" t="str">
        <f t="shared" si="113"/>
        <v>CKC</v>
      </c>
      <c r="Q775" s="61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3">
      <c r="A776" s="28">
        <v>1257</v>
      </c>
      <c r="B776" s="28">
        <v>136285</v>
      </c>
      <c r="C776" s="129" t="s">
        <v>425</v>
      </c>
      <c r="D776" s="128" t="s">
        <v>171</v>
      </c>
      <c r="E776" s="128" t="s">
        <v>145</v>
      </c>
      <c r="F776" s="29">
        <v>30541</v>
      </c>
      <c r="G776" s="56" t="str">
        <f t="shared" ca="1" si="114"/>
        <v>V 35</v>
      </c>
      <c r="H776" s="28">
        <f t="shared" ca="1" si="115"/>
        <v>37</v>
      </c>
      <c r="J776" s="38" t="str">
        <f t="shared" si="109"/>
        <v>Vítor Martins</v>
      </c>
      <c r="K776" s="39">
        <f t="shared" si="110"/>
        <v>1257</v>
      </c>
      <c r="L776" s="39">
        <f t="shared" si="111"/>
        <v>136285</v>
      </c>
      <c r="M776" s="40">
        <f t="shared" si="116"/>
        <v>30541</v>
      </c>
      <c r="N776" s="41" t="str">
        <f t="shared" ca="1" si="117"/>
        <v>V 35</v>
      </c>
      <c r="O776" s="41" t="str">
        <f t="shared" si="112"/>
        <v>M</v>
      </c>
      <c r="P776" s="60" t="str">
        <f t="shared" si="113"/>
        <v>CDES</v>
      </c>
      <c r="Q776" s="61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3">
      <c r="A777" s="28">
        <v>1237</v>
      </c>
      <c r="B777" s="28">
        <v>153547</v>
      </c>
      <c r="C777" s="129" t="s">
        <v>832</v>
      </c>
      <c r="D777" s="128" t="s">
        <v>171</v>
      </c>
      <c r="E777" s="128" t="s">
        <v>145</v>
      </c>
      <c r="F777" s="29">
        <v>29477</v>
      </c>
      <c r="G777" s="56" t="str">
        <f t="shared" ca="1" si="114"/>
        <v>V 40</v>
      </c>
      <c r="H777" s="28">
        <f t="shared" ca="1" si="115"/>
        <v>40</v>
      </c>
      <c r="J777" s="38" t="str">
        <f t="shared" si="109"/>
        <v>Herberto Matos</v>
      </c>
      <c r="K777" s="39">
        <f t="shared" si="110"/>
        <v>1237</v>
      </c>
      <c r="L777" s="39">
        <f t="shared" si="111"/>
        <v>153547</v>
      </c>
      <c r="M777" s="40">
        <f t="shared" si="116"/>
        <v>29477</v>
      </c>
      <c r="N777" s="41" t="str">
        <f t="shared" ca="1" si="117"/>
        <v>V 40</v>
      </c>
      <c r="O777" s="41" t="str">
        <f t="shared" si="112"/>
        <v>M</v>
      </c>
      <c r="P777" s="60" t="str">
        <f t="shared" si="113"/>
        <v>CDES</v>
      </c>
      <c r="Q777" s="61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3">
      <c r="A778" s="28">
        <v>1146</v>
      </c>
      <c r="B778" s="28">
        <v>146073</v>
      </c>
      <c r="C778" s="129" t="s">
        <v>572</v>
      </c>
      <c r="D778" s="128" t="s">
        <v>169</v>
      </c>
      <c r="E778" s="128" t="s">
        <v>145</v>
      </c>
      <c r="F778" s="29">
        <v>29110</v>
      </c>
      <c r="G778" s="56" t="str">
        <f t="shared" ca="1" si="114"/>
        <v>V 40</v>
      </c>
      <c r="H778" s="28">
        <f t="shared" ca="1" si="115"/>
        <v>41</v>
      </c>
      <c r="J778" s="38" t="str">
        <f t="shared" si="109"/>
        <v>Carlos Rodrigues</v>
      </c>
      <c r="K778" s="39">
        <f t="shared" si="110"/>
        <v>1146</v>
      </c>
      <c r="L778" s="39">
        <f t="shared" si="111"/>
        <v>146073</v>
      </c>
      <c r="M778" s="40">
        <f t="shared" si="116"/>
        <v>29110</v>
      </c>
      <c r="N778" s="41" t="str">
        <f t="shared" ca="1" si="117"/>
        <v>V 40</v>
      </c>
      <c r="O778" s="41" t="str">
        <f t="shared" si="112"/>
        <v>M</v>
      </c>
      <c r="P778" s="60" t="str">
        <f t="shared" si="113"/>
        <v>CKC</v>
      </c>
      <c r="Q778" s="61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3">
      <c r="A779" s="28">
        <v>1140</v>
      </c>
      <c r="B779" s="28">
        <v>143182</v>
      </c>
      <c r="C779" s="129" t="s">
        <v>554</v>
      </c>
      <c r="D779" s="128" t="s">
        <v>169</v>
      </c>
      <c r="E779" s="128" t="s">
        <v>145</v>
      </c>
      <c r="F779" s="29">
        <v>26885</v>
      </c>
      <c r="G779" s="56" t="str">
        <f t="shared" ca="1" si="114"/>
        <v>V 45</v>
      </c>
      <c r="H779" s="28">
        <f t="shared" ca="1" si="115"/>
        <v>47</v>
      </c>
      <c r="J779" s="38" t="str">
        <f t="shared" si="109"/>
        <v>Élvio Henriques</v>
      </c>
      <c r="K779" s="39">
        <f t="shared" si="110"/>
        <v>1140</v>
      </c>
      <c r="L779" s="39">
        <f t="shared" si="111"/>
        <v>143182</v>
      </c>
      <c r="M779" s="40">
        <f t="shared" si="116"/>
        <v>26885</v>
      </c>
      <c r="N779" s="41" t="str">
        <f t="shared" ca="1" si="117"/>
        <v>V 45</v>
      </c>
      <c r="O779" s="41" t="str">
        <f t="shared" si="112"/>
        <v>M</v>
      </c>
      <c r="P779" s="60" t="str">
        <f t="shared" si="113"/>
        <v>CKC</v>
      </c>
      <c r="Q779" s="61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3">
      <c r="A780" s="28">
        <v>1396</v>
      </c>
      <c r="B780" s="28">
        <v>152317</v>
      </c>
      <c r="C780" s="129" t="s">
        <v>947</v>
      </c>
      <c r="D780" s="128" t="s">
        <v>509</v>
      </c>
      <c r="E780" s="128" t="s">
        <v>145</v>
      </c>
      <c r="F780" s="29">
        <v>30957</v>
      </c>
      <c r="G780" s="56" t="str">
        <f t="shared" ca="1" si="114"/>
        <v>V 35</v>
      </c>
      <c r="H780" s="28">
        <f t="shared" ca="1" si="115"/>
        <v>36</v>
      </c>
      <c r="J780" s="38" t="str">
        <f t="shared" si="109"/>
        <v>Rogério Camacho</v>
      </c>
      <c r="K780" s="39">
        <f t="shared" si="110"/>
        <v>1396</v>
      </c>
      <c r="L780" s="39">
        <f t="shared" si="111"/>
        <v>152317</v>
      </c>
      <c r="M780" s="40">
        <f t="shared" si="116"/>
        <v>30957</v>
      </c>
      <c r="N780" s="41" t="str">
        <f t="shared" ca="1" si="117"/>
        <v>V 35</v>
      </c>
      <c r="O780" s="41" t="str">
        <f t="shared" si="112"/>
        <v>M</v>
      </c>
      <c r="P780" s="60" t="str">
        <f t="shared" si="113"/>
        <v>APCTT</v>
      </c>
      <c r="Q780" s="61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3">
      <c r="A781" s="28">
        <v>1388</v>
      </c>
      <c r="B781" s="28">
        <v>152322</v>
      </c>
      <c r="C781" s="129" t="s">
        <v>830</v>
      </c>
      <c r="D781" s="128" t="s">
        <v>509</v>
      </c>
      <c r="E781" s="128" t="s">
        <v>145</v>
      </c>
      <c r="F781" s="29">
        <v>27840</v>
      </c>
      <c r="G781" s="56" t="str">
        <f t="shared" ca="1" si="114"/>
        <v>V 45</v>
      </c>
      <c r="H781" s="28">
        <f t="shared" ca="1" si="115"/>
        <v>45</v>
      </c>
      <c r="J781" s="38" t="str">
        <f t="shared" si="109"/>
        <v>José Reis</v>
      </c>
      <c r="K781" s="39">
        <f t="shared" si="110"/>
        <v>1388</v>
      </c>
      <c r="L781" s="39">
        <f t="shared" si="111"/>
        <v>152322</v>
      </c>
      <c r="M781" s="40">
        <f t="shared" si="116"/>
        <v>27840</v>
      </c>
      <c r="N781" s="41" t="str">
        <f t="shared" ca="1" si="117"/>
        <v>V 45</v>
      </c>
      <c r="O781" s="41" t="str">
        <f t="shared" si="112"/>
        <v>M</v>
      </c>
      <c r="P781" s="60" t="str">
        <f t="shared" si="113"/>
        <v>APCTT</v>
      </c>
      <c r="Q781" s="6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3">
      <c r="A782" s="28">
        <v>1375</v>
      </c>
      <c r="B782" s="28">
        <v>149531</v>
      </c>
      <c r="C782" s="129" t="s">
        <v>788</v>
      </c>
      <c r="D782" s="128" t="s">
        <v>509</v>
      </c>
      <c r="E782" s="128" t="s">
        <v>145</v>
      </c>
      <c r="F782" s="29">
        <v>25653</v>
      </c>
      <c r="G782" s="56" t="str">
        <f t="shared" ca="1" si="114"/>
        <v>V 50</v>
      </c>
      <c r="H782" s="28">
        <f t="shared" ca="1" si="115"/>
        <v>51</v>
      </c>
      <c r="J782" s="38" t="str">
        <f t="shared" si="109"/>
        <v>Miguel Valente</v>
      </c>
      <c r="K782" s="39">
        <f t="shared" si="110"/>
        <v>1375</v>
      </c>
      <c r="L782" s="39">
        <f t="shared" si="111"/>
        <v>149531</v>
      </c>
      <c r="M782" s="40">
        <f t="shared" si="116"/>
        <v>25653</v>
      </c>
      <c r="N782" s="41" t="str">
        <f t="shared" ca="1" si="117"/>
        <v>V 50</v>
      </c>
      <c r="O782" s="41" t="str">
        <f t="shared" si="112"/>
        <v>M</v>
      </c>
      <c r="P782" s="60" t="str">
        <f t="shared" si="113"/>
        <v>APCTT</v>
      </c>
      <c r="Q782" s="61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3">
      <c r="A783" s="28">
        <v>63</v>
      </c>
      <c r="B783" s="28">
        <v>140717</v>
      </c>
      <c r="C783" s="129" t="s">
        <v>535</v>
      </c>
      <c r="D783" s="128" t="s">
        <v>509</v>
      </c>
      <c r="E783" s="128" t="s">
        <v>146</v>
      </c>
      <c r="F783" s="29">
        <v>29956</v>
      </c>
      <c r="G783" s="56" t="str">
        <f t="shared" ca="1" si="114"/>
        <v>V 35</v>
      </c>
      <c r="H783" s="28">
        <f t="shared" ca="1" si="115"/>
        <v>39</v>
      </c>
      <c r="J783" s="38" t="str">
        <f t="shared" si="109"/>
        <v>Paula Pereira</v>
      </c>
      <c r="K783" s="39">
        <f t="shared" si="110"/>
        <v>63</v>
      </c>
      <c r="L783" s="39">
        <f t="shared" si="111"/>
        <v>140717</v>
      </c>
      <c r="M783" s="40">
        <f t="shared" si="116"/>
        <v>29956</v>
      </c>
      <c r="N783" s="41" t="str">
        <f t="shared" ca="1" si="117"/>
        <v>V 35</v>
      </c>
      <c r="O783" s="41" t="str">
        <f t="shared" si="112"/>
        <v>F</v>
      </c>
      <c r="P783" s="60" t="str">
        <f t="shared" si="113"/>
        <v>APCTT</v>
      </c>
      <c r="Q783" s="61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3">
      <c r="A784" s="28">
        <v>65</v>
      </c>
      <c r="B784" s="28">
        <v>149532</v>
      </c>
      <c r="C784" s="129" t="s">
        <v>787</v>
      </c>
      <c r="D784" s="128" t="s">
        <v>509</v>
      </c>
      <c r="E784" s="128" t="s">
        <v>146</v>
      </c>
      <c r="F784" s="29">
        <v>28298</v>
      </c>
      <c r="G784" s="56" t="str">
        <f t="shared" ca="1" si="114"/>
        <v>V 40</v>
      </c>
      <c r="H784" s="28">
        <f t="shared" ca="1" si="115"/>
        <v>43</v>
      </c>
      <c r="J784" s="38" t="str">
        <f t="shared" si="109"/>
        <v>Rubina Fernandes</v>
      </c>
      <c r="K784" s="39">
        <f t="shared" si="110"/>
        <v>65</v>
      </c>
      <c r="L784" s="39">
        <f t="shared" si="111"/>
        <v>149532</v>
      </c>
      <c r="M784" s="40">
        <f t="shared" si="116"/>
        <v>28298</v>
      </c>
      <c r="N784" s="41" t="str">
        <f t="shared" ca="1" si="117"/>
        <v>V 40</v>
      </c>
      <c r="O784" s="41" t="str">
        <f t="shared" si="112"/>
        <v>F</v>
      </c>
      <c r="P784" s="60" t="str">
        <f t="shared" si="113"/>
        <v>APCTT</v>
      </c>
      <c r="Q784" s="61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3">
      <c r="A785" s="28">
        <v>1387</v>
      </c>
      <c r="B785" s="28">
        <v>150014</v>
      </c>
      <c r="C785" s="129" t="s">
        <v>943</v>
      </c>
      <c r="D785" s="128" t="s">
        <v>509</v>
      </c>
      <c r="E785" s="128" t="s">
        <v>145</v>
      </c>
      <c r="F785" s="29">
        <v>27993</v>
      </c>
      <c r="G785" s="56" t="str">
        <f t="shared" ca="1" si="114"/>
        <v>V 40</v>
      </c>
      <c r="H785" s="28">
        <f t="shared" ca="1" si="115"/>
        <v>44</v>
      </c>
      <c r="J785" s="38" t="str">
        <f t="shared" si="109"/>
        <v>Duarte Viveiros</v>
      </c>
      <c r="K785" s="39">
        <f t="shared" si="110"/>
        <v>1387</v>
      </c>
      <c r="L785" s="39">
        <f t="shared" si="111"/>
        <v>150014</v>
      </c>
      <c r="M785" s="40">
        <f t="shared" si="116"/>
        <v>27993</v>
      </c>
      <c r="N785" s="41" t="str">
        <f t="shared" ca="1" si="117"/>
        <v>V 40</v>
      </c>
      <c r="O785" s="41" t="str">
        <f t="shared" si="112"/>
        <v>M</v>
      </c>
      <c r="P785" s="60" t="str">
        <f t="shared" si="113"/>
        <v>APCTT</v>
      </c>
      <c r="Q785" s="61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3">
      <c r="A786" s="28">
        <v>1395</v>
      </c>
      <c r="B786" s="28">
        <v>150017</v>
      </c>
      <c r="C786" s="129" t="s">
        <v>792</v>
      </c>
      <c r="D786" s="128" t="s">
        <v>509</v>
      </c>
      <c r="E786" s="128" t="s">
        <v>145</v>
      </c>
      <c r="F786" s="29">
        <v>29569</v>
      </c>
      <c r="G786" s="56" t="str">
        <f t="shared" ca="1" si="114"/>
        <v>V 40</v>
      </c>
      <c r="H786" s="28">
        <f t="shared" ca="1" si="115"/>
        <v>40</v>
      </c>
      <c r="J786" s="38" t="str">
        <f t="shared" si="109"/>
        <v>Venâncio Abreu</v>
      </c>
      <c r="K786" s="39">
        <f t="shared" si="110"/>
        <v>1395</v>
      </c>
      <c r="L786" s="39">
        <f t="shared" si="111"/>
        <v>150017</v>
      </c>
      <c r="M786" s="40">
        <f t="shared" si="116"/>
        <v>29569</v>
      </c>
      <c r="N786" s="41" t="str">
        <f t="shared" ca="1" si="117"/>
        <v>V 40</v>
      </c>
      <c r="O786" s="41" t="str">
        <f t="shared" si="112"/>
        <v>M</v>
      </c>
      <c r="P786" s="60" t="str">
        <f t="shared" si="113"/>
        <v>APCTT</v>
      </c>
      <c r="Q786" s="61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3">
      <c r="A787" s="28">
        <v>1380</v>
      </c>
      <c r="B787" s="28">
        <v>139655</v>
      </c>
      <c r="C787" s="129" t="s">
        <v>498</v>
      </c>
      <c r="D787" s="128" t="s">
        <v>509</v>
      </c>
      <c r="E787" s="128" t="s">
        <v>145</v>
      </c>
      <c r="F787" s="29">
        <v>27582</v>
      </c>
      <c r="G787" s="56" t="str">
        <f t="shared" ca="1" si="114"/>
        <v>V 45</v>
      </c>
      <c r="H787" s="28">
        <f t="shared" ca="1" si="115"/>
        <v>45</v>
      </c>
      <c r="J787" s="38" t="str">
        <f t="shared" si="109"/>
        <v>Nuno Tavares</v>
      </c>
      <c r="K787" s="39">
        <f t="shared" si="110"/>
        <v>1380</v>
      </c>
      <c r="L787" s="39">
        <f t="shared" si="111"/>
        <v>139655</v>
      </c>
      <c r="M787" s="40">
        <f t="shared" si="116"/>
        <v>27582</v>
      </c>
      <c r="N787" s="41" t="str">
        <f t="shared" ca="1" si="117"/>
        <v>V 45</v>
      </c>
      <c r="O787" s="41" t="str">
        <f t="shared" si="112"/>
        <v>M</v>
      </c>
      <c r="P787" s="60" t="str">
        <f t="shared" si="113"/>
        <v>APCTT</v>
      </c>
      <c r="Q787" s="61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3">
      <c r="A788" s="28">
        <v>1400</v>
      </c>
      <c r="B788" s="28">
        <v>150065</v>
      </c>
      <c r="C788" s="129" t="s">
        <v>960</v>
      </c>
      <c r="D788" s="128" t="s">
        <v>509</v>
      </c>
      <c r="E788" s="128" t="s">
        <v>145</v>
      </c>
      <c r="F788" s="29">
        <v>35174</v>
      </c>
      <c r="G788" s="56" t="str">
        <f t="shared" ca="1" si="114"/>
        <v>Sénior</v>
      </c>
      <c r="H788" s="28">
        <f t="shared" ca="1" si="115"/>
        <v>25</v>
      </c>
      <c r="J788" s="38" t="str">
        <f t="shared" si="109"/>
        <v>Luís M. Freitas</v>
      </c>
      <c r="K788" s="39">
        <f t="shared" si="110"/>
        <v>1400</v>
      </c>
      <c r="L788" s="39">
        <f t="shared" si="111"/>
        <v>150065</v>
      </c>
      <c r="M788" s="40">
        <f t="shared" si="116"/>
        <v>35174</v>
      </c>
      <c r="N788" s="41" t="str">
        <f t="shared" ca="1" si="117"/>
        <v>Sénior</v>
      </c>
      <c r="O788" s="41" t="str">
        <f t="shared" si="112"/>
        <v>M</v>
      </c>
      <c r="P788" s="60" t="str">
        <f t="shared" si="113"/>
        <v>APCTT</v>
      </c>
      <c r="Q788" s="61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3">
      <c r="A789" s="28">
        <v>1394</v>
      </c>
      <c r="B789" s="28">
        <v>158081</v>
      </c>
      <c r="C789" s="129" t="s">
        <v>1135</v>
      </c>
      <c r="D789" s="128" t="s">
        <v>509</v>
      </c>
      <c r="E789" s="128" t="s">
        <v>145</v>
      </c>
      <c r="F789" s="29">
        <v>30581</v>
      </c>
      <c r="G789" s="56" t="str">
        <f t="shared" ca="1" si="114"/>
        <v>V 35</v>
      </c>
      <c r="H789" s="28">
        <f t="shared" ca="1" si="115"/>
        <v>37</v>
      </c>
      <c r="J789" s="38" t="str">
        <f t="shared" si="109"/>
        <v>Carlos Perestrelo</v>
      </c>
      <c r="K789" s="39">
        <f t="shared" si="110"/>
        <v>1394</v>
      </c>
      <c r="L789" s="39">
        <f t="shared" si="111"/>
        <v>158081</v>
      </c>
      <c r="M789" s="40">
        <f t="shared" si="116"/>
        <v>30581</v>
      </c>
      <c r="N789" s="41" t="str">
        <f t="shared" ca="1" si="117"/>
        <v>V 35</v>
      </c>
      <c r="O789" s="41" t="str">
        <f t="shared" si="112"/>
        <v>M</v>
      </c>
      <c r="P789" s="60" t="str">
        <f t="shared" si="113"/>
        <v>APCTT</v>
      </c>
      <c r="Q789" s="61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3">
      <c r="A790" s="28">
        <v>1372</v>
      </c>
      <c r="B790" s="28">
        <v>158085</v>
      </c>
      <c r="C790" s="129" t="s">
        <v>1133</v>
      </c>
      <c r="D790" s="128" t="s">
        <v>509</v>
      </c>
      <c r="E790" s="128" t="s">
        <v>145</v>
      </c>
      <c r="F790" s="29">
        <v>23468</v>
      </c>
      <c r="G790" s="56" t="str">
        <f t="shared" ca="1" si="114"/>
        <v>V 55</v>
      </c>
      <c r="H790" s="28">
        <f t="shared" ca="1" si="115"/>
        <v>57</v>
      </c>
      <c r="J790" s="38" t="str">
        <f t="shared" si="109"/>
        <v>José A. Teixeira</v>
      </c>
      <c r="K790" s="39">
        <f t="shared" si="110"/>
        <v>1372</v>
      </c>
      <c r="L790" s="39">
        <f t="shared" si="111"/>
        <v>158085</v>
      </c>
      <c r="M790" s="40">
        <f t="shared" si="116"/>
        <v>23468</v>
      </c>
      <c r="N790" s="41" t="str">
        <f t="shared" ca="1" si="117"/>
        <v>V 55</v>
      </c>
      <c r="O790" s="41" t="str">
        <f t="shared" si="112"/>
        <v>M</v>
      </c>
      <c r="P790" s="60" t="str">
        <f t="shared" si="113"/>
        <v>APCTT</v>
      </c>
      <c r="Q790" s="61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3">
      <c r="A791" s="28">
        <v>1369</v>
      </c>
      <c r="B791" s="28">
        <v>152642</v>
      </c>
      <c r="C791" s="129" t="s">
        <v>946</v>
      </c>
      <c r="D791" s="128" t="s">
        <v>509</v>
      </c>
      <c r="E791" s="128" t="s">
        <v>145</v>
      </c>
      <c r="F791" s="29">
        <v>22018</v>
      </c>
      <c r="G791" s="56" t="str">
        <f t="shared" ca="1" si="114"/>
        <v>V 60</v>
      </c>
      <c r="H791" s="28">
        <f t="shared" ca="1" si="115"/>
        <v>61</v>
      </c>
      <c r="J791" s="38" t="str">
        <f t="shared" si="109"/>
        <v>José Almada</v>
      </c>
      <c r="K791" s="39">
        <f t="shared" si="110"/>
        <v>1369</v>
      </c>
      <c r="L791" s="39">
        <f t="shared" si="111"/>
        <v>152642</v>
      </c>
      <c r="M791" s="40">
        <f t="shared" si="116"/>
        <v>22018</v>
      </c>
      <c r="N791" s="41" t="str">
        <f t="shared" ca="1" si="117"/>
        <v>V 60</v>
      </c>
      <c r="O791" s="41" t="str">
        <f t="shared" si="112"/>
        <v>M</v>
      </c>
      <c r="P791" s="60" t="str">
        <f t="shared" si="113"/>
        <v>APCTT</v>
      </c>
      <c r="Q791" s="6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3">
      <c r="A792" s="28">
        <v>1371</v>
      </c>
      <c r="B792" s="28">
        <v>158083</v>
      </c>
      <c r="C792" s="129" t="s">
        <v>1132</v>
      </c>
      <c r="D792" s="128" t="s">
        <v>509</v>
      </c>
      <c r="E792" s="128" t="s">
        <v>145</v>
      </c>
      <c r="F792" s="29">
        <v>23777</v>
      </c>
      <c r="G792" s="56" t="str">
        <f t="shared" ca="1" si="114"/>
        <v>V 55</v>
      </c>
      <c r="H792" s="28">
        <f t="shared" ca="1" si="115"/>
        <v>56</v>
      </c>
      <c r="J792" s="38" t="str">
        <f t="shared" si="109"/>
        <v>Rui A. Dias</v>
      </c>
      <c r="K792" s="39">
        <f t="shared" si="110"/>
        <v>1371</v>
      </c>
      <c r="L792" s="39">
        <f t="shared" si="111"/>
        <v>158083</v>
      </c>
      <c r="M792" s="40">
        <f t="shared" si="116"/>
        <v>23777</v>
      </c>
      <c r="N792" s="41" t="str">
        <f t="shared" ca="1" si="117"/>
        <v>V 55</v>
      </c>
      <c r="O792" s="41" t="str">
        <f t="shared" si="112"/>
        <v>M</v>
      </c>
      <c r="P792" s="60" t="str">
        <f t="shared" si="113"/>
        <v>APCTT</v>
      </c>
      <c r="Q792" s="61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3">
      <c r="A793" s="28">
        <v>1393</v>
      </c>
      <c r="B793" s="28">
        <v>152355</v>
      </c>
      <c r="C793" s="129" t="s">
        <v>827</v>
      </c>
      <c r="D793" s="128" t="s">
        <v>509</v>
      </c>
      <c r="E793" s="128" t="s">
        <v>145</v>
      </c>
      <c r="F793" s="29">
        <v>30288</v>
      </c>
      <c r="G793" s="56" t="str">
        <f t="shared" ca="1" si="114"/>
        <v>V 35</v>
      </c>
      <c r="H793" s="28">
        <f t="shared" ca="1" si="115"/>
        <v>38</v>
      </c>
      <c r="J793" s="38" t="str">
        <f t="shared" si="109"/>
        <v>Roberto Ramos</v>
      </c>
      <c r="K793" s="39">
        <f t="shared" si="110"/>
        <v>1393</v>
      </c>
      <c r="L793" s="39">
        <f t="shared" si="111"/>
        <v>152355</v>
      </c>
      <c r="M793" s="40">
        <f t="shared" si="116"/>
        <v>30288</v>
      </c>
      <c r="N793" s="41" t="str">
        <f t="shared" ca="1" si="117"/>
        <v>V 35</v>
      </c>
      <c r="O793" s="41" t="str">
        <f t="shared" si="112"/>
        <v>M</v>
      </c>
      <c r="P793" s="60" t="str">
        <f t="shared" si="113"/>
        <v>APCTT</v>
      </c>
      <c r="Q793" s="61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3">
      <c r="A794" s="28">
        <v>1562</v>
      </c>
      <c r="B794" s="28">
        <v>146346</v>
      </c>
      <c r="C794" s="129" t="s">
        <v>621</v>
      </c>
      <c r="D794" s="128" t="s">
        <v>509</v>
      </c>
      <c r="E794" s="128" t="s">
        <v>146</v>
      </c>
      <c r="F794" s="29">
        <v>37524</v>
      </c>
      <c r="G794" s="56" t="str">
        <f t="shared" ca="1" si="114"/>
        <v>Júnior</v>
      </c>
      <c r="H794" s="28">
        <f t="shared" ca="1" si="115"/>
        <v>18</v>
      </c>
      <c r="J794" s="38" t="str">
        <f t="shared" si="109"/>
        <v>Lisandra B. Tavares</v>
      </c>
      <c r="K794" s="39">
        <f t="shared" si="110"/>
        <v>1562</v>
      </c>
      <c r="L794" s="39">
        <f t="shared" si="111"/>
        <v>146346</v>
      </c>
      <c r="M794" s="40">
        <f t="shared" si="116"/>
        <v>37524</v>
      </c>
      <c r="N794" s="41" t="str">
        <f t="shared" ca="1" si="117"/>
        <v>Júnior</v>
      </c>
      <c r="O794" s="41" t="str">
        <f t="shared" si="112"/>
        <v>F</v>
      </c>
      <c r="P794" s="60" t="str">
        <f t="shared" si="113"/>
        <v>APCTT</v>
      </c>
      <c r="Q794" s="61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3">
      <c r="A795" s="28">
        <v>1386</v>
      </c>
      <c r="B795" s="28">
        <v>158093</v>
      </c>
      <c r="C795" s="129" t="s">
        <v>1131</v>
      </c>
      <c r="D795" s="128" t="s">
        <v>509</v>
      </c>
      <c r="E795" s="128" t="s">
        <v>145</v>
      </c>
      <c r="F795" s="29">
        <v>27773</v>
      </c>
      <c r="G795" s="56" t="str">
        <f t="shared" ca="1" si="114"/>
        <v>V 45</v>
      </c>
      <c r="H795" s="28">
        <f t="shared" ca="1" si="115"/>
        <v>45</v>
      </c>
      <c r="J795" s="38" t="str">
        <f t="shared" si="109"/>
        <v>Roberto A. Sousa</v>
      </c>
      <c r="K795" s="39">
        <f t="shared" si="110"/>
        <v>1386</v>
      </c>
      <c r="L795" s="39">
        <f t="shared" si="111"/>
        <v>158093</v>
      </c>
      <c r="M795" s="40">
        <f t="shared" si="116"/>
        <v>27773</v>
      </c>
      <c r="N795" s="41" t="str">
        <f t="shared" ca="1" si="117"/>
        <v>V 45</v>
      </c>
      <c r="O795" s="41" t="str">
        <f t="shared" si="112"/>
        <v>M</v>
      </c>
      <c r="P795" s="60" t="str">
        <f t="shared" si="113"/>
        <v>APCTT</v>
      </c>
      <c r="Q795" s="61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3">
      <c r="A796" s="28">
        <v>60</v>
      </c>
      <c r="B796" s="28">
        <v>152316</v>
      </c>
      <c r="C796" s="129" t="s">
        <v>942</v>
      </c>
      <c r="D796" s="128" t="s">
        <v>509</v>
      </c>
      <c r="E796" s="128" t="s">
        <v>146</v>
      </c>
      <c r="F796" s="29">
        <v>32370</v>
      </c>
      <c r="G796" s="56" t="str">
        <f t="shared" ca="1" si="114"/>
        <v>Sénior</v>
      </c>
      <c r="H796" s="28">
        <f t="shared" ca="1" si="115"/>
        <v>32</v>
      </c>
      <c r="J796" s="38" t="str">
        <f t="shared" si="109"/>
        <v>Luísa Reis</v>
      </c>
      <c r="K796" s="39">
        <f t="shared" si="110"/>
        <v>60</v>
      </c>
      <c r="L796" s="39">
        <f t="shared" si="111"/>
        <v>152316</v>
      </c>
      <c r="M796" s="40">
        <f t="shared" si="116"/>
        <v>32370</v>
      </c>
      <c r="N796" s="41" t="str">
        <f t="shared" ca="1" si="117"/>
        <v>Sénior</v>
      </c>
      <c r="O796" s="41" t="str">
        <f t="shared" si="112"/>
        <v>F</v>
      </c>
      <c r="P796" s="60" t="str">
        <f t="shared" si="113"/>
        <v>APCTT</v>
      </c>
      <c r="Q796" s="61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3">
      <c r="A797" s="28">
        <v>1365</v>
      </c>
      <c r="B797" s="28">
        <v>126172</v>
      </c>
      <c r="C797" s="129" t="s">
        <v>155</v>
      </c>
      <c r="D797" s="128" t="s">
        <v>152</v>
      </c>
      <c r="E797" s="128" t="s">
        <v>145</v>
      </c>
      <c r="F797" s="29">
        <v>25483</v>
      </c>
      <c r="G797" s="56" t="str">
        <f t="shared" ca="1" si="114"/>
        <v>V 50</v>
      </c>
      <c r="H797" s="28">
        <f t="shared" ca="1" si="115"/>
        <v>51</v>
      </c>
      <c r="J797" s="38" t="str">
        <f t="shared" si="109"/>
        <v>Marco Ferreira</v>
      </c>
      <c r="K797" s="39">
        <f t="shared" si="110"/>
        <v>1365</v>
      </c>
      <c r="L797" s="39">
        <f t="shared" si="111"/>
        <v>126172</v>
      </c>
      <c r="M797" s="40">
        <f t="shared" si="116"/>
        <v>25483</v>
      </c>
      <c r="N797" s="41" t="str">
        <f t="shared" ca="1" si="117"/>
        <v>V 50</v>
      </c>
      <c r="O797" s="41" t="str">
        <f t="shared" si="112"/>
        <v>M</v>
      </c>
      <c r="P797" s="60" t="str">
        <f t="shared" si="113"/>
        <v>ARCA-M</v>
      </c>
      <c r="Q797" s="61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3">
      <c r="A798" s="28">
        <v>1364</v>
      </c>
      <c r="B798" s="28">
        <v>130822</v>
      </c>
      <c r="C798" s="129" t="s">
        <v>319</v>
      </c>
      <c r="D798" s="128" t="s">
        <v>152</v>
      </c>
      <c r="E798" s="128" t="s">
        <v>145</v>
      </c>
      <c r="F798" s="29">
        <v>20883</v>
      </c>
      <c r="G798" s="56" t="str">
        <f t="shared" ca="1" si="114"/>
        <v>V 60</v>
      </c>
      <c r="H798" s="28">
        <f t="shared" ca="1" si="115"/>
        <v>64</v>
      </c>
      <c r="J798" s="38" t="str">
        <f t="shared" si="109"/>
        <v>José Carlos Silva</v>
      </c>
      <c r="K798" s="39">
        <f t="shared" si="110"/>
        <v>1364</v>
      </c>
      <c r="L798" s="39">
        <f t="shared" si="111"/>
        <v>130822</v>
      </c>
      <c r="M798" s="40">
        <f t="shared" si="116"/>
        <v>20883</v>
      </c>
      <c r="N798" s="41" t="str">
        <f t="shared" ca="1" si="117"/>
        <v>V 60</v>
      </c>
      <c r="O798" s="41" t="str">
        <f t="shared" si="112"/>
        <v>M</v>
      </c>
      <c r="P798" s="60" t="str">
        <f t="shared" si="113"/>
        <v>ARCA-M</v>
      </c>
      <c r="Q798" s="61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3">
      <c r="A799" s="28">
        <v>1367</v>
      </c>
      <c r="B799" s="28">
        <v>125687</v>
      </c>
      <c r="C799" s="129" t="s">
        <v>154</v>
      </c>
      <c r="D799" s="128" t="s">
        <v>152</v>
      </c>
      <c r="E799" s="128" t="s">
        <v>145</v>
      </c>
      <c r="F799" s="29">
        <v>29066</v>
      </c>
      <c r="G799" s="56" t="str">
        <f t="shared" ca="1" si="114"/>
        <v>V 40</v>
      </c>
      <c r="H799" s="28">
        <f t="shared" ca="1" si="115"/>
        <v>41</v>
      </c>
      <c r="J799" s="38" t="str">
        <f t="shared" si="109"/>
        <v>Nuno M. Silva</v>
      </c>
      <c r="K799" s="39">
        <f t="shared" si="110"/>
        <v>1367</v>
      </c>
      <c r="L799" s="39">
        <f t="shared" si="111"/>
        <v>125687</v>
      </c>
      <c r="M799" s="40">
        <f t="shared" si="116"/>
        <v>29066</v>
      </c>
      <c r="N799" s="41" t="str">
        <f t="shared" ca="1" si="117"/>
        <v>V 40</v>
      </c>
      <c r="O799" s="41" t="str">
        <f t="shared" si="112"/>
        <v>M</v>
      </c>
      <c r="P799" s="60" t="str">
        <f t="shared" si="113"/>
        <v>ARCA-M</v>
      </c>
      <c r="Q799" s="61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3">
      <c r="A800" s="28">
        <v>77</v>
      </c>
      <c r="B800" s="28">
        <v>140427</v>
      </c>
      <c r="C800" s="129" t="s">
        <v>896</v>
      </c>
      <c r="D800" s="128" t="s">
        <v>152</v>
      </c>
      <c r="E800" s="128" t="s">
        <v>146</v>
      </c>
      <c r="F800" s="29">
        <v>28062</v>
      </c>
      <c r="G800" s="56" t="str">
        <f t="shared" ca="1" si="114"/>
        <v>V 40</v>
      </c>
      <c r="H800" s="28">
        <f t="shared" ca="1" si="115"/>
        <v>44</v>
      </c>
      <c r="J800" s="38" t="str">
        <f t="shared" si="109"/>
        <v>Sónia Santos</v>
      </c>
      <c r="K800" s="39">
        <f t="shared" si="110"/>
        <v>77</v>
      </c>
      <c r="L800" s="39">
        <f t="shared" si="111"/>
        <v>140427</v>
      </c>
      <c r="M800" s="40">
        <f t="shared" si="116"/>
        <v>28062</v>
      </c>
      <c r="N800" s="41" t="str">
        <f t="shared" ca="1" si="117"/>
        <v>V 40</v>
      </c>
      <c r="O800" s="41" t="str">
        <f t="shared" si="112"/>
        <v>F</v>
      </c>
      <c r="P800" s="60" t="str">
        <f t="shared" si="113"/>
        <v>ARCA-M</v>
      </c>
      <c r="Q800" s="61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3">
      <c r="A801" s="28">
        <v>1363</v>
      </c>
      <c r="B801" s="28">
        <v>146377</v>
      </c>
      <c r="C801" s="129" t="s">
        <v>602</v>
      </c>
      <c r="D801" s="128" t="s">
        <v>152</v>
      </c>
      <c r="E801" s="128" t="s">
        <v>145</v>
      </c>
      <c r="F801" s="29">
        <v>18246</v>
      </c>
      <c r="G801" s="56" t="str">
        <f t="shared" ca="1" si="114"/>
        <v>V 70</v>
      </c>
      <c r="H801" s="28">
        <f t="shared" ca="1" si="115"/>
        <v>71</v>
      </c>
      <c r="J801" s="38" t="str">
        <f t="shared" si="109"/>
        <v>Fernando Vieira</v>
      </c>
      <c r="K801" s="39">
        <f t="shared" si="110"/>
        <v>1363</v>
      </c>
      <c r="L801" s="39">
        <f t="shared" si="111"/>
        <v>146377</v>
      </c>
      <c r="M801" s="40">
        <f t="shared" si="116"/>
        <v>18246</v>
      </c>
      <c r="N801" s="41" t="str">
        <f t="shared" ca="1" si="117"/>
        <v>V 70</v>
      </c>
      <c r="O801" s="41" t="str">
        <f t="shared" si="112"/>
        <v>M</v>
      </c>
      <c r="P801" s="60" t="str">
        <f t="shared" si="113"/>
        <v>ARCA-M</v>
      </c>
      <c r="Q801" s="6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3">
      <c r="A802" s="28">
        <v>1366</v>
      </c>
      <c r="B802" s="28">
        <v>126123</v>
      </c>
      <c r="C802" s="129" t="s">
        <v>897</v>
      </c>
      <c r="D802" s="128" t="s">
        <v>152</v>
      </c>
      <c r="E802" s="128" t="s">
        <v>145</v>
      </c>
      <c r="F802" s="29">
        <v>28177</v>
      </c>
      <c r="G802" s="56" t="str">
        <f t="shared" ca="1" si="114"/>
        <v>V 40</v>
      </c>
      <c r="H802" s="28">
        <f t="shared" ca="1" si="115"/>
        <v>44</v>
      </c>
      <c r="J802" s="38" t="str">
        <f t="shared" si="109"/>
        <v>Cláudio Jardim</v>
      </c>
      <c r="K802" s="39">
        <f t="shared" si="110"/>
        <v>1366</v>
      </c>
      <c r="L802" s="39">
        <f t="shared" si="111"/>
        <v>126123</v>
      </c>
      <c r="M802" s="40">
        <f t="shared" si="116"/>
        <v>28177</v>
      </c>
      <c r="N802" s="41" t="str">
        <f t="shared" ca="1" si="117"/>
        <v>V 40</v>
      </c>
      <c r="O802" s="41" t="str">
        <f t="shared" si="112"/>
        <v>M</v>
      </c>
      <c r="P802" s="60" t="str">
        <f t="shared" si="113"/>
        <v>ARCA-M</v>
      </c>
      <c r="Q802" s="61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3">
      <c r="A803" s="28">
        <v>2065</v>
      </c>
      <c r="B803" s="28">
        <v>153830</v>
      </c>
      <c r="C803" s="129" t="s">
        <v>1512</v>
      </c>
      <c r="D803" s="128" t="s">
        <v>152</v>
      </c>
      <c r="E803" s="128" t="s">
        <v>146</v>
      </c>
      <c r="F803" s="29">
        <v>40293</v>
      </c>
      <c r="G803" s="56" t="str">
        <f t="shared" ca="1" si="114"/>
        <v>Benjamim B</v>
      </c>
      <c r="H803" s="28">
        <f t="shared" ca="1" si="115"/>
        <v>10</v>
      </c>
      <c r="J803" s="38" t="str">
        <f t="shared" si="109"/>
        <v>Ana Beatriz Silva</v>
      </c>
      <c r="K803" s="39">
        <f t="shared" si="110"/>
        <v>2065</v>
      </c>
      <c r="L803" s="39">
        <f t="shared" si="111"/>
        <v>153830</v>
      </c>
      <c r="M803" s="40">
        <f t="shared" si="116"/>
        <v>40293</v>
      </c>
      <c r="N803" s="41" t="str">
        <f t="shared" ca="1" si="117"/>
        <v>Benjamim B</v>
      </c>
      <c r="O803" s="41" t="str">
        <f t="shared" si="112"/>
        <v>F</v>
      </c>
      <c r="P803" s="60" t="str">
        <f t="shared" si="113"/>
        <v>ARCA-M</v>
      </c>
      <c r="Q803" s="61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3">
      <c r="A804" s="28">
        <v>1145</v>
      </c>
      <c r="B804" s="28">
        <v>131765</v>
      </c>
      <c r="C804" s="129" t="s">
        <v>466</v>
      </c>
      <c r="D804" s="128" t="s">
        <v>169</v>
      </c>
      <c r="E804" s="128" t="s">
        <v>145</v>
      </c>
      <c r="F804" s="29">
        <v>28635</v>
      </c>
      <c r="G804" s="56" t="str">
        <f t="shared" ca="1" si="114"/>
        <v>V 40</v>
      </c>
      <c r="H804" s="28">
        <f t="shared" ca="1" si="115"/>
        <v>42</v>
      </c>
      <c r="J804" s="38" t="str">
        <f t="shared" si="109"/>
        <v>Mauro Câmara</v>
      </c>
      <c r="K804" s="39">
        <f t="shared" si="110"/>
        <v>1145</v>
      </c>
      <c r="L804" s="39">
        <f t="shared" si="111"/>
        <v>131765</v>
      </c>
      <c r="M804" s="40">
        <f t="shared" si="116"/>
        <v>28635</v>
      </c>
      <c r="N804" s="41" t="str">
        <f t="shared" ca="1" si="117"/>
        <v>V 40</v>
      </c>
      <c r="O804" s="41" t="str">
        <f t="shared" si="112"/>
        <v>M</v>
      </c>
      <c r="P804" s="60" t="str">
        <f t="shared" si="113"/>
        <v>CKC</v>
      </c>
      <c r="Q804" s="61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3">
      <c r="A805" s="28">
        <v>1144</v>
      </c>
      <c r="B805" s="28">
        <v>130802</v>
      </c>
      <c r="C805" s="129" t="s">
        <v>421</v>
      </c>
      <c r="D805" s="128" t="s">
        <v>169</v>
      </c>
      <c r="E805" s="128" t="s">
        <v>145</v>
      </c>
      <c r="F805" s="29">
        <v>28458</v>
      </c>
      <c r="G805" s="56" t="str">
        <f t="shared" ca="1" si="114"/>
        <v>V 40</v>
      </c>
      <c r="H805" s="28">
        <f t="shared" ca="1" si="115"/>
        <v>43</v>
      </c>
      <c r="J805" s="38" t="str">
        <f t="shared" si="109"/>
        <v>Ricardo J. Quintal</v>
      </c>
      <c r="K805" s="39">
        <f t="shared" si="110"/>
        <v>1144</v>
      </c>
      <c r="L805" s="39">
        <f t="shared" si="111"/>
        <v>130802</v>
      </c>
      <c r="M805" s="40">
        <f t="shared" si="116"/>
        <v>28458</v>
      </c>
      <c r="N805" s="41" t="str">
        <f t="shared" ca="1" si="117"/>
        <v>V 40</v>
      </c>
      <c r="O805" s="41" t="str">
        <f t="shared" si="112"/>
        <v>M</v>
      </c>
      <c r="P805" s="60" t="str">
        <f t="shared" si="113"/>
        <v>CKC</v>
      </c>
      <c r="Q805" s="61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3">
      <c r="A806" s="28">
        <v>1138</v>
      </c>
      <c r="B806" s="28">
        <v>128551</v>
      </c>
      <c r="C806" s="129" t="s">
        <v>662</v>
      </c>
      <c r="D806" s="128" t="s">
        <v>169</v>
      </c>
      <c r="E806" s="128" t="s">
        <v>145</v>
      </c>
      <c r="F806" s="29">
        <v>22567</v>
      </c>
      <c r="G806" s="56" t="str">
        <f t="shared" ca="1" si="114"/>
        <v>V 55</v>
      </c>
      <c r="H806" s="28">
        <f t="shared" ca="1" si="115"/>
        <v>59</v>
      </c>
      <c r="J806" s="38" t="str">
        <f t="shared" si="109"/>
        <v>Raúl Mendes</v>
      </c>
      <c r="K806" s="39">
        <f t="shared" si="110"/>
        <v>1138</v>
      </c>
      <c r="L806" s="39">
        <f t="shared" si="111"/>
        <v>128551</v>
      </c>
      <c r="M806" s="40">
        <f t="shared" si="116"/>
        <v>22567</v>
      </c>
      <c r="N806" s="41" t="str">
        <f t="shared" ca="1" si="117"/>
        <v>V 55</v>
      </c>
      <c r="O806" s="41" t="str">
        <f t="shared" si="112"/>
        <v>M</v>
      </c>
      <c r="P806" s="60" t="str">
        <f t="shared" si="113"/>
        <v>CKC</v>
      </c>
      <c r="Q806" s="61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3">
      <c r="A807" s="28">
        <v>1148</v>
      </c>
      <c r="B807" s="28">
        <v>136832</v>
      </c>
      <c r="C807" s="129" t="s">
        <v>434</v>
      </c>
      <c r="D807" s="128" t="s">
        <v>169</v>
      </c>
      <c r="E807" s="128" t="s">
        <v>145</v>
      </c>
      <c r="F807" s="29">
        <v>32395</v>
      </c>
      <c r="G807" s="56" t="str">
        <f t="shared" ca="1" si="114"/>
        <v>Sénior</v>
      </c>
      <c r="H807" s="28">
        <f t="shared" ca="1" si="115"/>
        <v>32</v>
      </c>
      <c r="J807" s="38" t="str">
        <f t="shared" si="109"/>
        <v>Mauro Barros</v>
      </c>
      <c r="K807" s="39">
        <f t="shared" si="110"/>
        <v>1148</v>
      </c>
      <c r="L807" s="39">
        <f t="shared" si="111"/>
        <v>136832</v>
      </c>
      <c r="M807" s="40">
        <f t="shared" si="116"/>
        <v>32395</v>
      </c>
      <c r="N807" s="41" t="str">
        <f t="shared" ca="1" si="117"/>
        <v>Sénior</v>
      </c>
      <c r="O807" s="41" t="str">
        <f t="shared" si="112"/>
        <v>M</v>
      </c>
      <c r="P807" s="60" t="str">
        <f t="shared" si="113"/>
        <v>CKC</v>
      </c>
      <c r="Q807" s="61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3">
      <c r="A808" s="28">
        <v>159</v>
      </c>
      <c r="B808" s="28">
        <v>145939</v>
      </c>
      <c r="C808" s="129" t="s">
        <v>752</v>
      </c>
      <c r="D808" s="128" t="s">
        <v>169</v>
      </c>
      <c r="E808" s="128" t="s">
        <v>146</v>
      </c>
      <c r="F808" s="29">
        <v>34880</v>
      </c>
      <c r="G808" s="56" t="str">
        <f t="shared" ca="1" si="114"/>
        <v>Sénior</v>
      </c>
      <c r="H808" s="28">
        <f t="shared" ca="1" si="115"/>
        <v>25</v>
      </c>
      <c r="J808" s="38" t="str">
        <f t="shared" si="109"/>
        <v>Laureen Teixeira</v>
      </c>
      <c r="K808" s="39">
        <f t="shared" si="110"/>
        <v>159</v>
      </c>
      <c r="L808" s="39">
        <f t="shared" si="111"/>
        <v>145939</v>
      </c>
      <c r="M808" s="40">
        <f t="shared" si="116"/>
        <v>34880</v>
      </c>
      <c r="N808" s="41" t="str">
        <f t="shared" ca="1" si="117"/>
        <v>Sénior</v>
      </c>
      <c r="O808" s="41" t="str">
        <f t="shared" si="112"/>
        <v>F</v>
      </c>
      <c r="P808" s="60" t="str">
        <f t="shared" si="113"/>
        <v>CKC</v>
      </c>
      <c r="Q808" s="61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3">
      <c r="A809" s="28">
        <v>1143</v>
      </c>
      <c r="B809" s="28">
        <v>124615</v>
      </c>
      <c r="C809" s="129" t="s">
        <v>139</v>
      </c>
      <c r="D809" s="128" t="s">
        <v>169</v>
      </c>
      <c r="E809" s="128" t="s">
        <v>145</v>
      </c>
      <c r="F809" s="29">
        <v>28510</v>
      </c>
      <c r="G809" s="56" t="str">
        <f t="shared" ca="1" si="114"/>
        <v>V 40</v>
      </c>
      <c r="H809" s="28">
        <f t="shared" ca="1" si="115"/>
        <v>43</v>
      </c>
      <c r="J809" s="38" t="str">
        <f t="shared" si="109"/>
        <v>Marco Barros</v>
      </c>
      <c r="K809" s="39">
        <f t="shared" si="110"/>
        <v>1143</v>
      </c>
      <c r="L809" s="39">
        <f t="shared" si="111"/>
        <v>124615</v>
      </c>
      <c r="M809" s="40">
        <f t="shared" si="116"/>
        <v>28510</v>
      </c>
      <c r="N809" s="41" t="str">
        <f t="shared" ca="1" si="117"/>
        <v>V 40</v>
      </c>
      <c r="O809" s="41" t="str">
        <f t="shared" si="112"/>
        <v>M</v>
      </c>
      <c r="P809" s="60" t="str">
        <f t="shared" si="113"/>
        <v>CKC</v>
      </c>
      <c r="Q809" s="61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3">
      <c r="A810" s="28">
        <v>1142</v>
      </c>
      <c r="B810" s="28">
        <v>138840</v>
      </c>
      <c r="C810" s="129" t="s">
        <v>635</v>
      </c>
      <c r="D810" s="128" t="s">
        <v>169</v>
      </c>
      <c r="E810" s="128" t="s">
        <v>145</v>
      </c>
      <c r="F810" s="29">
        <v>28204</v>
      </c>
      <c r="G810" s="56" t="str">
        <f t="shared" ca="1" si="114"/>
        <v>V 40</v>
      </c>
      <c r="H810" s="28">
        <f t="shared" ca="1" si="115"/>
        <v>44</v>
      </c>
      <c r="J810" s="38" t="str">
        <f t="shared" si="109"/>
        <v>Daniel Costa</v>
      </c>
      <c r="K810" s="39">
        <f t="shared" si="110"/>
        <v>1142</v>
      </c>
      <c r="L810" s="39">
        <f t="shared" si="111"/>
        <v>138840</v>
      </c>
      <c r="M810" s="40">
        <f t="shared" si="116"/>
        <v>28204</v>
      </c>
      <c r="N810" s="41" t="str">
        <f t="shared" ca="1" si="117"/>
        <v>V 40</v>
      </c>
      <c r="O810" s="41" t="str">
        <f t="shared" si="112"/>
        <v>M</v>
      </c>
      <c r="P810" s="60" t="str">
        <f t="shared" si="113"/>
        <v>CKC</v>
      </c>
      <c r="Q810" s="61"/>
      <c r="R810"/>
      <c r="S810"/>
      <c r="T810"/>
      <c r="U810"/>
    </row>
    <row r="811" spans="1:793" ht="13">
      <c r="A811" s="28">
        <v>1139</v>
      </c>
      <c r="B811" s="28">
        <v>128465</v>
      </c>
      <c r="C811" s="129" t="s">
        <v>212</v>
      </c>
      <c r="D811" s="128" t="s">
        <v>169</v>
      </c>
      <c r="E811" s="128" t="s">
        <v>145</v>
      </c>
      <c r="F811" s="29">
        <v>25217</v>
      </c>
      <c r="G811" s="56" t="str">
        <f t="shared" ca="1" si="114"/>
        <v>V 50</v>
      </c>
      <c r="H811" s="28">
        <f t="shared" ca="1" si="115"/>
        <v>52</v>
      </c>
      <c r="J811" s="38" t="str">
        <f t="shared" si="109"/>
        <v>Carlos Fernandes</v>
      </c>
      <c r="K811" s="39">
        <f t="shared" si="110"/>
        <v>1139</v>
      </c>
      <c r="L811" s="39">
        <f t="shared" si="111"/>
        <v>128465</v>
      </c>
      <c r="M811" s="40">
        <f t="shared" si="116"/>
        <v>25217</v>
      </c>
      <c r="N811" s="41" t="str">
        <f t="shared" ca="1" si="117"/>
        <v>V 50</v>
      </c>
      <c r="O811" s="41" t="str">
        <f t="shared" si="112"/>
        <v>M</v>
      </c>
      <c r="P811" s="60" t="str">
        <f t="shared" si="113"/>
        <v>CKC</v>
      </c>
      <c r="Q811" s="61"/>
      <c r="R811"/>
      <c r="S811"/>
      <c r="T811"/>
      <c r="U811"/>
    </row>
    <row r="812" spans="1:793" ht="13">
      <c r="A812" s="28">
        <v>1212</v>
      </c>
      <c r="B812" s="28">
        <v>147474</v>
      </c>
      <c r="C812" s="129" t="s">
        <v>638</v>
      </c>
      <c r="D812" s="128" t="s">
        <v>153</v>
      </c>
      <c r="E812" s="128" t="s">
        <v>145</v>
      </c>
      <c r="F812" s="29">
        <v>33038</v>
      </c>
      <c r="G812" s="56" t="str">
        <f t="shared" ca="1" si="114"/>
        <v>Sénior</v>
      </c>
      <c r="H812" s="28">
        <f t="shared" ca="1" si="115"/>
        <v>30</v>
      </c>
      <c r="J812" s="38" t="str">
        <f t="shared" si="109"/>
        <v>Maurice Escórcio</v>
      </c>
      <c r="K812" s="39">
        <f t="shared" si="110"/>
        <v>1212</v>
      </c>
      <c r="L812" s="39">
        <f t="shared" si="111"/>
        <v>147474</v>
      </c>
      <c r="M812" s="40">
        <f t="shared" si="116"/>
        <v>33038</v>
      </c>
      <c r="N812" s="41" t="str">
        <f t="shared" ca="1" si="117"/>
        <v>Sénior</v>
      </c>
      <c r="O812" s="41" t="str">
        <f t="shared" si="112"/>
        <v>M</v>
      </c>
      <c r="P812" s="60" t="str">
        <f t="shared" si="113"/>
        <v>CDI-M</v>
      </c>
      <c r="Q812" s="61"/>
      <c r="R812"/>
      <c r="S812"/>
      <c r="T812"/>
      <c r="U812"/>
    </row>
    <row r="813" spans="1:793" ht="13">
      <c r="A813" s="28">
        <v>1207</v>
      </c>
      <c r="B813" s="28">
        <v>147466</v>
      </c>
      <c r="C813" s="129" t="s">
        <v>639</v>
      </c>
      <c r="D813" s="128" t="s">
        <v>153</v>
      </c>
      <c r="E813" s="128" t="s">
        <v>145</v>
      </c>
      <c r="F813" s="29">
        <v>30741</v>
      </c>
      <c r="G813" s="56" t="str">
        <f t="shared" ca="1" si="114"/>
        <v>V 35</v>
      </c>
      <c r="H813" s="28">
        <f t="shared" ca="1" si="115"/>
        <v>37</v>
      </c>
      <c r="J813" s="38" t="str">
        <f t="shared" si="109"/>
        <v>Mike Escórcio</v>
      </c>
      <c r="K813" s="39">
        <f t="shared" si="110"/>
        <v>1207</v>
      </c>
      <c r="L813" s="39">
        <f t="shared" si="111"/>
        <v>147466</v>
      </c>
      <c r="M813" s="40">
        <f t="shared" si="116"/>
        <v>30741</v>
      </c>
      <c r="N813" s="41" t="str">
        <f t="shared" ca="1" si="117"/>
        <v>V 35</v>
      </c>
      <c r="O813" s="41" t="str">
        <f t="shared" si="112"/>
        <v>M</v>
      </c>
      <c r="P813" s="60" t="str">
        <f t="shared" si="113"/>
        <v>CDI-M</v>
      </c>
      <c r="Q813" s="61"/>
      <c r="R813"/>
      <c r="S813"/>
      <c r="T813"/>
      <c r="U813"/>
    </row>
    <row r="814" spans="1:793" ht="13">
      <c r="A814" s="28">
        <v>1206</v>
      </c>
      <c r="B814" s="28">
        <v>147444</v>
      </c>
      <c r="C814" s="129" t="s">
        <v>641</v>
      </c>
      <c r="D814" s="128" t="s">
        <v>153</v>
      </c>
      <c r="E814" s="128" t="s">
        <v>145</v>
      </c>
      <c r="F814" s="29">
        <v>30410</v>
      </c>
      <c r="G814" s="56" t="str">
        <f t="shared" ca="1" si="114"/>
        <v>V 35</v>
      </c>
      <c r="H814" s="28">
        <f t="shared" ca="1" si="115"/>
        <v>38</v>
      </c>
      <c r="J814" s="38" t="str">
        <f t="shared" si="109"/>
        <v>Márcio Gonçalves</v>
      </c>
      <c r="K814" s="39">
        <f t="shared" si="110"/>
        <v>1206</v>
      </c>
      <c r="L814" s="39">
        <f t="shared" si="111"/>
        <v>147444</v>
      </c>
      <c r="M814" s="40">
        <f t="shared" si="116"/>
        <v>30410</v>
      </c>
      <c r="N814" s="41" t="str">
        <f t="shared" ca="1" si="117"/>
        <v>V 35</v>
      </c>
      <c r="O814" s="41" t="str">
        <f t="shared" si="112"/>
        <v>M</v>
      </c>
      <c r="P814" s="60" t="str">
        <f t="shared" si="113"/>
        <v>CDI-M</v>
      </c>
      <c r="Q814" s="61"/>
      <c r="R814"/>
      <c r="S814"/>
      <c r="T814"/>
      <c r="U814"/>
    </row>
    <row r="815" spans="1:793" ht="13">
      <c r="A815" s="28">
        <v>135</v>
      </c>
      <c r="B815" s="28">
        <v>139601</v>
      </c>
      <c r="C815" s="129" t="s">
        <v>461</v>
      </c>
      <c r="D815" s="128" t="s">
        <v>153</v>
      </c>
      <c r="E815" s="128" t="s">
        <v>146</v>
      </c>
      <c r="F815" s="29">
        <v>28069</v>
      </c>
      <c r="G815" s="56" t="str">
        <f t="shared" ca="1" si="114"/>
        <v>V 40</v>
      </c>
      <c r="H815" s="28">
        <f t="shared" ca="1" si="115"/>
        <v>44</v>
      </c>
      <c r="J815" s="38" t="str">
        <f t="shared" si="109"/>
        <v>Rosa Rodrigues</v>
      </c>
      <c r="K815" s="39">
        <f t="shared" si="110"/>
        <v>135</v>
      </c>
      <c r="L815" s="39">
        <f t="shared" si="111"/>
        <v>139601</v>
      </c>
      <c r="M815" s="40">
        <f t="shared" si="116"/>
        <v>28069</v>
      </c>
      <c r="N815" s="41" t="str">
        <f t="shared" ca="1" si="117"/>
        <v>V 40</v>
      </c>
      <c r="O815" s="41" t="str">
        <f t="shared" si="112"/>
        <v>F</v>
      </c>
      <c r="P815" s="60" t="str">
        <f t="shared" si="113"/>
        <v>CDI-M</v>
      </c>
      <c r="Q815" s="61"/>
      <c r="R815"/>
      <c r="S815"/>
      <c r="T815"/>
      <c r="U815"/>
    </row>
    <row r="816" spans="1:793" ht="13">
      <c r="A816" s="28">
        <v>127</v>
      </c>
      <c r="B816" s="28">
        <v>153084</v>
      </c>
      <c r="C816" s="129" t="s">
        <v>816</v>
      </c>
      <c r="D816" s="128" t="s">
        <v>153</v>
      </c>
      <c r="E816" s="128" t="s">
        <v>146</v>
      </c>
      <c r="F816" s="29">
        <v>33615</v>
      </c>
      <c r="G816" s="56" t="str">
        <f t="shared" ca="1" si="114"/>
        <v>Sénior</v>
      </c>
      <c r="H816" s="28">
        <f t="shared" ca="1" si="115"/>
        <v>29</v>
      </c>
      <c r="J816" s="38" t="str">
        <f t="shared" si="109"/>
        <v>Carolina Silva</v>
      </c>
      <c r="K816" s="39">
        <f t="shared" si="110"/>
        <v>127</v>
      </c>
      <c r="L816" s="39">
        <f t="shared" si="111"/>
        <v>153084</v>
      </c>
      <c r="M816" s="40">
        <f t="shared" si="116"/>
        <v>33615</v>
      </c>
      <c r="N816" s="41" t="str">
        <f t="shared" ca="1" si="117"/>
        <v>Sénior</v>
      </c>
      <c r="O816" s="41" t="str">
        <f t="shared" si="112"/>
        <v>F</v>
      </c>
      <c r="P816" s="60" t="str">
        <f t="shared" si="113"/>
        <v>CDI-M</v>
      </c>
      <c r="Q816" s="61"/>
      <c r="R816"/>
      <c r="S816"/>
      <c r="T816"/>
      <c r="U816"/>
    </row>
    <row r="817" spans="1:21" ht="13">
      <c r="A817" s="28">
        <v>66</v>
      </c>
      <c r="B817" s="28">
        <v>149617</v>
      </c>
      <c r="C817" s="129" t="s">
        <v>786</v>
      </c>
      <c r="D817" s="128" t="s">
        <v>509</v>
      </c>
      <c r="E817" s="128" t="s">
        <v>146</v>
      </c>
      <c r="F817" s="29">
        <v>27983</v>
      </c>
      <c r="G817" s="56" t="str">
        <f t="shared" ca="1" si="114"/>
        <v>V 40</v>
      </c>
      <c r="H817" s="28">
        <f t="shared" ca="1" si="115"/>
        <v>44</v>
      </c>
      <c r="J817" s="38" t="str">
        <f t="shared" si="109"/>
        <v>Odília Pedras</v>
      </c>
      <c r="K817" s="39">
        <f t="shared" si="110"/>
        <v>66</v>
      </c>
      <c r="L817" s="39">
        <f t="shared" si="111"/>
        <v>149617</v>
      </c>
      <c r="M817" s="40">
        <f t="shared" si="116"/>
        <v>27983</v>
      </c>
      <c r="N817" s="41" t="str">
        <f t="shared" ca="1" si="117"/>
        <v>V 40</v>
      </c>
      <c r="O817" s="41" t="str">
        <f t="shared" si="112"/>
        <v>F</v>
      </c>
      <c r="P817" s="60" t="str">
        <f t="shared" si="113"/>
        <v>APCTT</v>
      </c>
      <c r="Q817" s="61"/>
      <c r="R817"/>
      <c r="S817"/>
      <c r="T817"/>
      <c r="U817"/>
    </row>
    <row r="818" spans="1:21" ht="13">
      <c r="A818" s="28">
        <v>67</v>
      </c>
      <c r="B818" s="28">
        <v>140737</v>
      </c>
      <c r="C818" s="129" t="s">
        <v>631</v>
      </c>
      <c r="D818" s="128" t="s">
        <v>509</v>
      </c>
      <c r="E818" s="128" t="s">
        <v>146</v>
      </c>
      <c r="F818" s="29">
        <v>29360</v>
      </c>
      <c r="G818" s="56" t="str">
        <f t="shared" ca="1" si="114"/>
        <v>V 40</v>
      </c>
      <c r="H818" s="28">
        <f t="shared" ca="1" si="115"/>
        <v>40</v>
      </c>
      <c r="J818" s="38" t="str">
        <f t="shared" si="109"/>
        <v>Andrea Freitas</v>
      </c>
      <c r="K818" s="39">
        <f t="shared" si="110"/>
        <v>67</v>
      </c>
      <c r="L818" s="39">
        <f t="shared" si="111"/>
        <v>140737</v>
      </c>
      <c r="M818" s="40">
        <f t="shared" si="116"/>
        <v>29360</v>
      </c>
      <c r="N818" s="41" t="str">
        <f t="shared" ca="1" si="117"/>
        <v>V 40</v>
      </c>
      <c r="O818" s="41" t="str">
        <f t="shared" si="112"/>
        <v>F</v>
      </c>
      <c r="P818" s="60" t="str">
        <f t="shared" si="113"/>
        <v>APCTT</v>
      </c>
      <c r="Q818" s="61"/>
      <c r="R818"/>
      <c r="S818"/>
      <c r="T818"/>
      <c r="U818"/>
    </row>
    <row r="819" spans="1:21" ht="13">
      <c r="A819" s="28">
        <v>72</v>
      </c>
      <c r="B819" s="28">
        <v>152308</v>
      </c>
      <c r="C819" s="129" t="s">
        <v>825</v>
      </c>
      <c r="D819" s="128" t="s">
        <v>509</v>
      </c>
      <c r="E819" s="128" t="s">
        <v>146</v>
      </c>
      <c r="F819" s="29">
        <v>27127</v>
      </c>
      <c r="G819" s="56" t="str">
        <f t="shared" ca="1" si="114"/>
        <v>V 45</v>
      </c>
      <c r="H819" s="28">
        <f t="shared" ca="1" si="115"/>
        <v>47</v>
      </c>
      <c r="J819" s="38" t="str">
        <f t="shared" si="109"/>
        <v>Anália Freitas</v>
      </c>
      <c r="K819" s="39">
        <f t="shared" si="110"/>
        <v>72</v>
      </c>
      <c r="L819" s="39">
        <f t="shared" si="111"/>
        <v>152308</v>
      </c>
      <c r="M819" s="40">
        <f t="shared" si="116"/>
        <v>27127</v>
      </c>
      <c r="N819" s="41" t="str">
        <f t="shared" ca="1" si="117"/>
        <v>V 45</v>
      </c>
      <c r="O819" s="41" t="str">
        <f t="shared" si="112"/>
        <v>F</v>
      </c>
      <c r="P819" s="60" t="str">
        <f t="shared" si="113"/>
        <v>APCTT</v>
      </c>
      <c r="Q819" s="61"/>
      <c r="R819"/>
      <c r="S819"/>
      <c r="T819"/>
      <c r="U819"/>
    </row>
    <row r="820" spans="1:21" ht="13">
      <c r="A820" s="28">
        <v>73</v>
      </c>
      <c r="B820" s="28">
        <v>130787</v>
      </c>
      <c r="C820" s="129" t="s">
        <v>826</v>
      </c>
      <c r="D820" s="128" t="s">
        <v>509</v>
      </c>
      <c r="E820" s="128" t="s">
        <v>146</v>
      </c>
      <c r="F820" s="29">
        <v>27339</v>
      </c>
      <c r="G820" s="56" t="str">
        <f t="shared" ca="1" si="114"/>
        <v>V 45</v>
      </c>
      <c r="H820" s="28">
        <f t="shared" ca="1" si="115"/>
        <v>46</v>
      </c>
      <c r="J820" s="38" t="str">
        <f t="shared" si="109"/>
        <v>Carmo Almeida</v>
      </c>
      <c r="K820" s="39">
        <f t="shared" si="110"/>
        <v>73</v>
      </c>
      <c r="L820" s="39">
        <f t="shared" si="111"/>
        <v>130787</v>
      </c>
      <c r="M820" s="40">
        <f t="shared" si="116"/>
        <v>27339</v>
      </c>
      <c r="N820" s="41" t="str">
        <f t="shared" ca="1" si="117"/>
        <v>V 45</v>
      </c>
      <c r="O820" s="41" t="str">
        <f t="shared" si="112"/>
        <v>F</v>
      </c>
      <c r="P820" s="60" t="str">
        <f t="shared" si="113"/>
        <v>APCTT</v>
      </c>
      <c r="Q820" s="61"/>
      <c r="R820"/>
      <c r="S820"/>
      <c r="T820"/>
      <c r="U820"/>
    </row>
    <row r="821" spans="1:21" ht="13">
      <c r="A821" s="28">
        <v>1385</v>
      </c>
      <c r="B821" s="28">
        <v>140736</v>
      </c>
      <c r="C821" s="129" t="s">
        <v>505</v>
      </c>
      <c r="D821" s="128" t="s">
        <v>509</v>
      </c>
      <c r="E821" s="128" t="s">
        <v>145</v>
      </c>
      <c r="F821" s="29">
        <v>28309</v>
      </c>
      <c r="G821" s="56" t="str">
        <f t="shared" ca="1" si="114"/>
        <v>V 40</v>
      </c>
      <c r="H821" s="28">
        <f t="shared" ca="1" si="115"/>
        <v>43</v>
      </c>
      <c r="J821" s="38" t="str">
        <f t="shared" si="109"/>
        <v>Emanuel Freitas</v>
      </c>
      <c r="K821" s="39">
        <f t="shared" si="110"/>
        <v>1385</v>
      </c>
      <c r="L821" s="39">
        <f t="shared" si="111"/>
        <v>140736</v>
      </c>
      <c r="M821" s="40">
        <f t="shared" si="116"/>
        <v>28309</v>
      </c>
      <c r="N821" s="41" t="str">
        <f t="shared" ca="1" si="117"/>
        <v>V 40</v>
      </c>
      <c r="O821" s="41" t="str">
        <f t="shared" si="112"/>
        <v>M</v>
      </c>
      <c r="P821" s="60" t="str">
        <f t="shared" si="113"/>
        <v>APCTT</v>
      </c>
      <c r="Q821" s="61"/>
      <c r="R821"/>
      <c r="S821"/>
      <c r="T821"/>
      <c r="U821"/>
    </row>
    <row r="822" spans="1:21" ht="13">
      <c r="A822" s="28">
        <v>61</v>
      </c>
      <c r="B822" s="28">
        <v>159519</v>
      </c>
      <c r="C822" s="129" t="s">
        <v>1256</v>
      </c>
      <c r="D822" s="128" t="s">
        <v>509</v>
      </c>
      <c r="E822" s="128" t="s">
        <v>146</v>
      </c>
      <c r="F822" s="29">
        <v>34761</v>
      </c>
      <c r="G822" s="56" t="str">
        <f t="shared" ca="1" si="114"/>
        <v>Sénior</v>
      </c>
      <c r="H822" s="28">
        <f t="shared" ca="1" si="115"/>
        <v>26</v>
      </c>
      <c r="J822" s="38" t="str">
        <f t="shared" si="109"/>
        <v>Cátia Rubina Vieira</v>
      </c>
      <c r="K822" s="39">
        <f t="shared" si="110"/>
        <v>61</v>
      </c>
      <c r="L822" s="39">
        <f t="shared" si="111"/>
        <v>159519</v>
      </c>
      <c r="M822" s="40">
        <f t="shared" si="116"/>
        <v>34761</v>
      </c>
      <c r="N822" s="41" t="str">
        <f t="shared" ca="1" si="117"/>
        <v>Sénior</v>
      </c>
      <c r="O822" s="41" t="str">
        <f t="shared" si="112"/>
        <v>F</v>
      </c>
      <c r="P822" s="60" t="str">
        <f t="shared" si="113"/>
        <v>APCTT</v>
      </c>
      <c r="Q822" s="61"/>
      <c r="R822"/>
      <c r="S822"/>
      <c r="T822"/>
      <c r="U822"/>
    </row>
    <row r="823" spans="1:21" ht="13">
      <c r="A823" s="28">
        <v>75</v>
      </c>
      <c r="B823" s="28">
        <v>149742</v>
      </c>
      <c r="C823" s="129" t="s">
        <v>789</v>
      </c>
      <c r="D823" s="128" t="s">
        <v>509</v>
      </c>
      <c r="E823" s="128" t="s">
        <v>146</v>
      </c>
      <c r="F823" s="29">
        <v>23655</v>
      </c>
      <c r="G823" s="56" t="str">
        <f t="shared" ca="1" si="114"/>
        <v>V 55</v>
      </c>
      <c r="H823" s="28">
        <f t="shared" ca="1" si="115"/>
        <v>56</v>
      </c>
      <c r="J823" s="38" t="str">
        <f t="shared" si="109"/>
        <v>Ana Paula Aveiro</v>
      </c>
      <c r="K823" s="39">
        <f t="shared" si="110"/>
        <v>75</v>
      </c>
      <c r="L823" s="39">
        <f t="shared" si="111"/>
        <v>149742</v>
      </c>
      <c r="M823" s="40">
        <f t="shared" si="116"/>
        <v>23655</v>
      </c>
      <c r="N823" s="41" t="str">
        <f t="shared" ca="1" si="117"/>
        <v>V 55</v>
      </c>
      <c r="O823" s="41" t="str">
        <f t="shared" si="112"/>
        <v>F</v>
      </c>
      <c r="P823" s="60" t="str">
        <f t="shared" si="113"/>
        <v>APCTT</v>
      </c>
      <c r="Q823" s="61"/>
      <c r="R823"/>
      <c r="S823"/>
      <c r="T823"/>
      <c r="U823"/>
    </row>
    <row r="824" spans="1:21" ht="13">
      <c r="A824" s="28">
        <v>1384</v>
      </c>
      <c r="B824" s="28">
        <v>158918</v>
      </c>
      <c r="C824" s="129" t="s">
        <v>1130</v>
      </c>
      <c r="D824" s="128" t="s">
        <v>509</v>
      </c>
      <c r="E824" s="128" t="s">
        <v>145</v>
      </c>
      <c r="F824" s="29">
        <v>28749</v>
      </c>
      <c r="G824" s="56" t="str">
        <f t="shared" ca="1" si="114"/>
        <v>V 40</v>
      </c>
      <c r="H824" s="28">
        <f t="shared" ca="1" si="115"/>
        <v>42</v>
      </c>
      <c r="J824" s="38" t="str">
        <f t="shared" si="109"/>
        <v>Libónio Ornelas</v>
      </c>
      <c r="K824" s="39">
        <f t="shared" si="110"/>
        <v>1384</v>
      </c>
      <c r="L824" s="39">
        <f t="shared" si="111"/>
        <v>158918</v>
      </c>
      <c r="M824" s="40">
        <f t="shared" si="116"/>
        <v>28749</v>
      </c>
      <c r="N824" s="41" t="str">
        <f t="shared" ca="1" si="117"/>
        <v>V 40</v>
      </c>
      <c r="O824" s="41" t="str">
        <f t="shared" si="112"/>
        <v>M</v>
      </c>
      <c r="P824" s="60" t="str">
        <f t="shared" si="113"/>
        <v>APCTT</v>
      </c>
      <c r="Q824" s="61"/>
      <c r="R824"/>
      <c r="S824"/>
      <c r="T824"/>
      <c r="U824"/>
    </row>
    <row r="825" spans="1:21" ht="13">
      <c r="A825" s="28">
        <v>1374</v>
      </c>
      <c r="B825" s="28">
        <v>126255</v>
      </c>
      <c r="C825" s="129" t="s">
        <v>204</v>
      </c>
      <c r="D825" s="128" t="s">
        <v>509</v>
      </c>
      <c r="E825" s="128" t="s">
        <v>145</v>
      </c>
      <c r="F825" s="29">
        <v>25891</v>
      </c>
      <c r="G825" s="56" t="str">
        <f t="shared" ca="1" si="114"/>
        <v>V 50</v>
      </c>
      <c r="H825" s="28">
        <f t="shared" ca="1" si="115"/>
        <v>50</v>
      </c>
      <c r="J825" s="38" t="str">
        <f t="shared" si="109"/>
        <v>Roberto Solano</v>
      </c>
      <c r="K825" s="39">
        <f t="shared" si="110"/>
        <v>1374</v>
      </c>
      <c r="L825" s="39">
        <f t="shared" si="111"/>
        <v>126255</v>
      </c>
      <c r="M825" s="40">
        <f t="shared" si="116"/>
        <v>25891</v>
      </c>
      <c r="N825" s="41" t="str">
        <f t="shared" ca="1" si="117"/>
        <v>V 50</v>
      </c>
      <c r="O825" s="41" t="str">
        <f t="shared" si="112"/>
        <v>M</v>
      </c>
      <c r="P825" s="60" t="str">
        <f t="shared" si="113"/>
        <v>APCTT</v>
      </c>
      <c r="Q825" s="61"/>
      <c r="R825"/>
      <c r="S825"/>
      <c r="T825"/>
      <c r="U825"/>
    </row>
    <row r="826" spans="1:21" ht="13">
      <c r="A826" s="28">
        <v>1399</v>
      </c>
      <c r="B826" s="28">
        <v>152368</v>
      </c>
      <c r="C826" s="129" t="s">
        <v>945</v>
      </c>
      <c r="D826" s="128" t="s">
        <v>509</v>
      </c>
      <c r="E826" s="128" t="s">
        <v>145</v>
      </c>
      <c r="F826" s="29">
        <v>31883</v>
      </c>
      <c r="G826" s="56" t="str">
        <f t="shared" ca="1" si="114"/>
        <v>Sénior</v>
      </c>
      <c r="H826" s="28">
        <f t="shared" ca="1" si="115"/>
        <v>34</v>
      </c>
      <c r="J826" s="38" t="str">
        <f t="shared" si="109"/>
        <v>Luís Martins</v>
      </c>
      <c r="K826" s="39">
        <f t="shared" si="110"/>
        <v>1399</v>
      </c>
      <c r="L826" s="39">
        <f t="shared" si="111"/>
        <v>152368</v>
      </c>
      <c r="M826" s="40">
        <f t="shared" si="116"/>
        <v>31883</v>
      </c>
      <c r="N826" s="41" t="str">
        <f t="shared" ca="1" si="117"/>
        <v>Sénior</v>
      </c>
      <c r="O826" s="41" t="str">
        <f t="shared" si="112"/>
        <v>M</v>
      </c>
      <c r="P826" s="60" t="str">
        <f t="shared" si="113"/>
        <v>APCTT</v>
      </c>
      <c r="Q826" s="61"/>
      <c r="R826"/>
      <c r="S826"/>
      <c r="T826"/>
      <c r="U826"/>
    </row>
    <row r="827" spans="1:21" ht="13">
      <c r="A827" s="28">
        <v>1392</v>
      </c>
      <c r="B827" s="28">
        <v>150067</v>
      </c>
      <c r="C827" s="129" t="s">
        <v>793</v>
      </c>
      <c r="D827" s="128" t="s">
        <v>509</v>
      </c>
      <c r="E827" s="128" t="s">
        <v>145</v>
      </c>
      <c r="F827" s="29">
        <v>30725</v>
      </c>
      <c r="G827" s="56" t="str">
        <f t="shared" ca="1" si="114"/>
        <v>V 35</v>
      </c>
      <c r="H827" s="28">
        <f t="shared" ca="1" si="115"/>
        <v>37</v>
      </c>
      <c r="J827" s="38" t="str">
        <f t="shared" si="109"/>
        <v>Luís M. Vieira</v>
      </c>
      <c r="K827" s="39">
        <f t="shared" si="110"/>
        <v>1392</v>
      </c>
      <c r="L827" s="39">
        <f t="shared" si="111"/>
        <v>150067</v>
      </c>
      <c r="M827" s="40">
        <f t="shared" si="116"/>
        <v>30725</v>
      </c>
      <c r="N827" s="41" t="str">
        <f t="shared" ca="1" si="117"/>
        <v>V 35</v>
      </c>
      <c r="O827" s="41" t="str">
        <f t="shared" si="112"/>
        <v>M</v>
      </c>
      <c r="P827" s="60" t="str">
        <f t="shared" si="113"/>
        <v>APCTT</v>
      </c>
      <c r="Q827" s="61"/>
      <c r="R827"/>
      <c r="S827"/>
      <c r="T827"/>
      <c r="U827"/>
    </row>
    <row r="828" spans="1:21" ht="13">
      <c r="A828" s="28">
        <v>1379</v>
      </c>
      <c r="B828" s="28">
        <v>158526</v>
      </c>
      <c r="C828" s="129" t="s">
        <v>1134</v>
      </c>
      <c r="D828" s="128" t="s">
        <v>509</v>
      </c>
      <c r="E828" s="128" t="s">
        <v>145</v>
      </c>
      <c r="F828" s="29">
        <v>26641</v>
      </c>
      <c r="G828" s="56" t="str">
        <f t="shared" ca="1" si="114"/>
        <v>V 45</v>
      </c>
      <c r="H828" s="28">
        <f t="shared" ca="1" si="115"/>
        <v>48</v>
      </c>
      <c r="J828" s="38" t="str">
        <f t="shared" si="109"/>
        <v>Paulo Teixeira</v>
      </c>
      <c r="K828" s="39">
        <f t="shared" si="110"/>
        <v>1379</v>
      </c>
      <c r="L828" s="39">
        <f t="shared" si="111"/>
        <v>158526</v>
      </c>
      <c r="M828" s="40">
        <f t="shared" si="116"/>
        <v>26641</v>
      </c>
      <c r="N828" s="41" t="str">
        <f t="shared" ca="1" si="117"/>
        <v>V 45</v>
      </c>
      <c r="O828" s="41" t="str">
        <f t="shared" si="112"/>
        <v>M</v>
      </c>
      <c r="P828" s="60" t="str">
        <f t="shared" si="113"/>
        <v>APCTT</v>
      </c>
      <c r="Q828" s="61"/>
      <c r="R828"/>
      <c r="S828"/>
      <c r="T828"/>
      <c r="U828"/>
    </row>
    <row r="829" spans="1:21" ht="13">
      <c r="A829" s="28">
        <v>1383</v>
      </c>
      <c r="B829" s="28">
        <v>146504</v>
      </c>
      <c r="C829" s="129" t="s">
        <v>622</v>
      </c>
      <c r="D829" s="128" t="s">
        <v>509</v>
      </c>
      <c r="E829" s="128" t="s">
        <v>145</v>
      </c>
      <c r="F829" s="29">
        <v>29416</v>
      </c>
      <c r="G829" s="56" t="str">
        <f t="shared" ca="1" si="114"/>
        <v>V 40</v>
      </c>
      <c r="H829" s="28">
        <f t="shared" ca="1" si="115"/>
        <v>40</v>
      </c>
      <c r="J829" s="38" t="str">
        <f t="shared" si="109"/>
        <v>Filipe Franco</v>
      </c>
      <c r="K829" s="39">
        <f t="shared" si="110"/>
        <v>1383</v>
      </c>
      <c r="L829" s="39">
        <f t="shared" si="111"/>
        <v>146504</v>
      </c>
      <c r="M829" s="40">
        <f t="shared" si="116"/>
        <v>29416</v>
      </c>
      <c r="N829" s="41" t="str">
        <f t="shared" ca="1" si="117"/>
        <v>V 40</v>
      </c>
      <c r="O829" s="41" t="str">
        <f t="shared" si="112"/>
        <v>M</v>
      </c>
      <c r="P829" s="60" t="str">
        <f t="shared" si="113"/>
        <v>APCTT</v>
      </c>
      <c r="Q829" s="61"/>
      <c r="R829"/>
      <c r="S829"/>
      <c r="T829"/>
      <c r="U829"/>
    </row>
    <row r="830" spans="1:21" ht="13">
      <c r="A830" s="28">
        <v>68</v>
      </c>
      <c r="B830" s="28">
        <v>163027</v>
      </c>
      <c r="C830" s="129" t="s">
        <v>1457</v>
      </c>
      <c r="D830" s="128" t="s">
        <v>509</v>
      </c>
      <c r="E830" s="128" t="s">
        <v>146</v>
      </c>
      <c r="F830" s="29">
        <v>29157</v>
      </c>
      <c r="G830" s="56" t="str">
        <f t="shared" ca="1" si="114"/>
        <v>V 40</v>
      </c>
      <c r="H830" s="28">
        <f t="shared" ca="1" si="115"/>
        <v>41</v>
      </c>
      <c r="J830" s="38" t="str">
        <f t="shared" si="109"/>
        <v>Isabel Alves</v>
      </c>
      <c r="K830" s="39">
        <f t="shared" si="110"/>
        <v>68</v>
      </c>
      <c r="L830" s="39">
        <f t="shared" si="111"/>
        <v>163027</v>
      </c>
      <c r="M830" s="40">
        <f t="shared" si="116"/>
        <v>29157</v>
      </c>
      <c r="N830" s="41" t="str">
        <f t="shared" ca="1" si="117"/>
        <v>V 40</v>
      </c>
      <c r="O830" s="41" t="str">
        <f t="shared" si="112"/>
        <v>F</v>
      </c>
      <c r="P830" s="60" t="str">
        <f t="shared" si="113"/>
        <v>APCTT</v>
      </c>
      <c r="Q830" s="61"/>
      <c r="R830"/>
      <c r="S830"/>
      <c r="T830"/>
      <c r="U830"/>
    </row>
    <row r="831" spans="1:21" ht="13">
      <c r="A831" s="28">
        <v>1370</v>
      </c>
      <c r="B831" s="28">
        <v>162548</v>
      </c>
      <c r="C831" s="129" t="s">
        <v>1459</v>
      </c>
      <c r="D831" s="128" t="s">
        <v>509</v>
      </c>
      <c r="E831" s="128" t="s">
        <v>145</v>
      </c>
      <c r="F831" s="29">
        <v>22899</v>
      </c>
      <c r="G831" s="56" t="str">
        <f t="shared" ca="1" si="114"/>
        <v>V 55</v>
      </c>
      <c r="H831" s="28">
        <f t="shared" ca="1" si="115"/>
        <v>58</v>
      </c>
      <c r="J831" s="38" t="str">
        <f t="shared" si="109"/>
        <v>Nicolau Correia</v>
      </c>
      <c r="K831" s="39">
        <f t="shared" si="110"/>
        <v>1370</v>
      </c>
      <c r="L831" s="39">
        <f t="shared" si="111"/>
        <v>162548</v>
      </c>
      <c r="M831" s="40">
        <f t="shared" si="116"/>
        <v>22899</v>
      </c>
      <c r="N831" s="41" t="str">
        <f t="shared" ca="1" si="117"/>
        <v>V 55</v>
      </c>
      <c r="O831" s="41" t="str">
        <f t="shared" si="112"/>
        <v>M</v>
      </c>
      <c r="P831" s="60" t="str">
        <f t="shared" si="113"/>
        <v>APCTT</v>
      </c>
      <c r="Q831" s="61"/>
      <c r="R831"/>
      <c r="S831"/>
      <c r="T831"/>
      <c r="U831"/>
    </row>
    <row r="832" spans="1:21" ht="13">
      <c r="A832" s="28">
        <v>1391</v>
      </c>
      <c r="B832" s="28">
        <v>163072</v>
      </c>
      <c r="C832" s="129" t="s">
        <v>1460</v>
      </c>
      <c r="D832" s="128" t="s">
        <v>509</v>
      </c>
      <c r="E832" s="128" t="s">
        <v>145</v>
      </c>
      <c r="F832" s="29">
        <v>30206</v>
      </c>
      <c r="G832" s="56" t="str">
        <f t="shared" ca="1" si="114"/>
        <v>V 35</v>
      </c>
      <c r="H832" s="28">
        <f t="shared" ca="1" si="115"/>
        <v>38</v>
      </c>
      <c r="J832" s="38" t="str">
        <f t="shared" si="109"/>
        <v>Hugo Marques</v>
      </c>
      <c r="K832" s="39">
        <f t="shared" si="110"/>
        <v>1391</v>
      </c>
      <c r="L832" s="39">
        <f t="shared" si="111"/>
        <v>163072</v>
      </c>
      <c r="M832" s="40">
        <f t="shared" si="116"/>
        <v>30206</v>
      </c>
      <c r="N832" s="41" t="str">
        <f t="shared" ca="1" si="117"/>
        <v>V 35</v>
      </c>
      <c r="O832" s="41" t="str">
        <f t="shared" si="112"/>
        <v>M</v>
      </c>
      <c r="P832" s="60" t="str">
        <f t="shared" si="113"/>
        <v>APCTT</v>
      </c>
      <c r="Q832" s="61"/>
      <c r="R832"/>
      <c r="S832"/>
      <c r="T832"/>
      <c r="U832"/>
    </row>
    <row r="833" spans="1:21" ht="13">
      <c r="A833" s="28">
        <v>1382</v>
      </c>
      <c r="B833" s="28">
        <v>163078</v>
      </c>
      <c r="C833" s="129" t="s">
        <v>1461</v>
      </c>
      <c r="D833" s="128" t="s">
        <v>509</v>
      </c>
      <c r="E833" s="128" t="s">
        <v>145</v>
      </c>
      <c r="F833" s="29">
        <v>27994</v>
      </c>
      <c r="G833" s="56" t="str">
        <f t="shared" ca="1" si="114"/>
        <v>V 40</v>
      </c>
      <c r="H833" s="28">
        <f t="shared" ca="1" si="115"/>
        <v>44</v>
      </c>
      <c r="J833" s="38" t="str">
        <f t="shared" si="109"/>
        <v>Hélder Correia</v>
      </c>
      <c r="K833" s="39">
        <f t="shared" si="110"/>
        <v>1382</v>
      </c>
      <c r="L833" s="39">
        <f t="shared" si="111"/>
        <v>163078</v>
      </c>
      <c r="M833" s="40">
        <f t="shared" si="116"/>
        <v>27994</v>
      </c>
      <c r="N833" s="41" t="str">
        <f t="shared" ca="1" si="117"/>
        <v>V 40</v>
      </c>
      <c r="O833" s="41" t="str">
        <f t="shared" si="112"/>
        <v>M</v>
      </c>
      <c r="P833" s="60" t="str">
        <f t="shared" si="113"/>
        <v>APCTT</v>
      </c>
      <c r="Q833" s="61"/>
      <c r="R833"/>
      <c r="S833"/>
      <c r="T833"/>
      <c r="U833"/>
    </row>
    <row r="834" spans="1:21" ht="13">
      <c r="A834" s="28">
        <v>1041</v>
      </c>
      <c r="B834" s="28">
        <v>163046</v>
      </c>
      <c r="C834" s="129" t="s">
        <v>1476</v>
      </c>
      <c r="D834" s="128" t="s">
        <v>1079</v>
      </c>
      <c r="E834" s="128" t="s">
        <v>145</v>
      </c>
      <c r="F834" s="29">
        <v>33661</v>
      </c>
      <c r="G834" s="56" t="str">
        <f t="shared" ca="1" si="114"/>
        <v>Sénior</v>
      </c>
      <c r="H834" s="28">
        <f t="shared" ca="1" si="115"/>
        <v>29</v>
      </c>
      <c r="J834" s="38" t="str">
        <f t="shared" ref="J834:J897" si="118">C834</f>
        <v>André Sousa</v>
      </c>
      <c r="K834" s="39">
        <f t="shared" ref="K834:K897" si="119">A834</f>
        <v>1041</v>
      </c>
      <c r="L834" s="39">
        <f t="shared" ref="L834:L897" si="120">B834</f>
        <v>163046</v>
      </c>
      <c r="M834" s="40">
        <f t="shared" si="116"/>
        <v>33661</v>
      </c>
      <c r="N834" s="41" t="str">
        <f t="shared" ca="1" si="117"/>
        <v>Sénior</v>
      </c>
      <c r="O834" s="41" t="str">
        <f t="shared" ref="O834:O897" si="121">E834</f>
        <v>M</v>
      </c>
      <c r="P834" s="60" t="str">
        <f t="shared" ref="P834:P897" si="122">D834</f>
        <v>CSJG</v>
      </c>
      <c r="Q834" s="61"/>
      <c r="R834"/>
      <c r="S834"/>
      <c r="T834"/>
      <c r="U834"/>
    </row>
    <row r="835" spans="1:21" ht="13">
      <c r="A835" s="28">
        <v>1147</v>
      </c>
      <c r="B835" s="28">
        <v>163420</v>
      </c>
      <c r="C835" s="129" t="s">
        <v>1497</v>
      </c>
      <c r="D835" s="128" t="s">
        <v>169</v>
      </c>
      <c r="E835" s="128" t="s">
        <v>145</v>
      </c>
      <c r="F835" s="29">
        <v>36421</v>
      </c>
      <c r="G835" s="5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B",IF(YEAR(TODAY())-YEAR(F835)&lt;14,"Infantil",IF(YEAR(TODAY())-YEAR(F835)&lt;16,"Iniciado",IF(YEAR(TODAY())-YEAR(F835)&lt;18,"Juvenil",IF(YEAR(TODAY())-YEAR(F835)&lt;20,"Júnior",IF(YEAR(TODAY())-YEAR(F835)&lt;23,"sub 23",IF(ROUNDDOWN(INT(TODAY()-F835)/365.25,0)&lt;35,"Sénior",IF(ROUNDDOWN(INT(TODAY()-F835)/365.25,0)&lt;40,"V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65",IF(ROUNDDOWN(INT(TODAY()-F835)/365.25,0)&lt;75,"V 70",IF(ROUNDDOWN(INT(TODAY()-F835)/365.25,0)&lt;80,"V 75",IF(ROUNDDOWN(INT(TODAY()-F835)/365.25,0)&lt;85,"V 80",IF(ROUNDDOWN(INT(TODAY()-F835)/365.25,0)&lt;90,"V 85",IF(ROUNDDOWN(INT(TODAY()-F835)/365.25,0)&lt;95,"V 90",IF(ROUNDDOWN(INT(TODAY()-F835)/365.25,0)&lt;100,"V 95",IF(ROUNDDOWN(INT(TODAY()-F835)/365.25,0)&gt;=100,"V 100",""))))))))))))))))))))))),"")</f>
        <v>sub 23</v>
      </c>
      <c r="H835" s="28">
        <f t="shared" ref="H835:H898" ca="1" si="124">IFERROR(IF($A835&gt;0,ROUNDDOWN(INT(TODAY()-F835)/365.25,0),""),"")</f>
        <v>21</v>
      </c>
      <c r="J835" s="38" t="str">
        <f t="shared" si="118"/>
        <v>Leandro Coelho</v>
      </c>
      <c r="K835" s="39">
        <f t="shared" si="119"/>
        <v>1147</v>
      </c>
      <c r="L835" s="39">
        <f t="shared" si="120"/>
        <v>163420</v>
      </c>
      <c r="M835" s="40">
        <f t="shared" ref="M835:M898" si="125">F835</f>
        <v>36421</v>
      </c>
      <c r="N835" s="41" t="str">
        <f t="shared" ref="N835:N898" ca="1" si="126">G835</f>
        <v>sub 23</v>
      </c>
      <c r="O835" s="41" t="str">
        <f t="shared" si="121"/>
        <v>M</v>
      </c>
      <c r="P835" s="60" t="str">
        <f t="shared" si="122"/>
        <v>CKC</v>
      </c>
      <c r="Q835" s="61"/>
      <c r="R835"/>
      <c r="S835"/>
      <c r="T835"/>
      <c r="U835"/>
    </row>
    <row r="836" spans="1:21" ht="13">
      <c r="A836" s="28">
        <v>1398</v>
      </c>
      <c r="B836" s="28">
        <v>159514</v>
      </c>
      <c r="C836" s="129" t="s">
        <v>1462</v>
      </c>
      <c r="D836" s="128" t="s">
        <v>509</v>
      </c>
      <c r="E836" s="128" t="s">
        <v>145</v>
      </c>
      <c r="F836" s="29">
        <v>31559</v>
      </c>
      <c r="G836" s="56" t="str">
        <f t="shared" ca="1" si="123"/>
        <v>Sénior</v>
      </c>
      <c r="H836" s="28">
        <f t="shared" ca="1" si="124"/>
        <v>34</v>
      </c>
      <c r="J836" s="38" t="str">
        <f t="shared" si="118"/>
        <v>Agostinho Caldeira</v>
      </c>
      <c r="K836" s="39">
        <f t="shared" si="119"/>
        <v>1398</v>
      </c>
      <c r="L836" s="39">
        <f t="shared" si="120"/>
        <v>159514</v>
      </c>
      <c r="M836" s="40">
        <f t="shared" si="125"/>
        <v>31559</v>
      </c>
      <c r="N836" s="41" t="str">
        <f t="shared" ca="1" si="126"/>
        <v>Sénior</v>
      </c>
      <c r="O836" s="41" t="str">
        <f t="shared" si="121"/>
        <v>M</v>
      </c>
      <c r="P836" s="60" t="str">
        <f t="shared" si="122"/>
        <v>APCTT</v>
      </c>
      <c r="Q836" s="61"/>
    </row>
    <row r="837" spans="1:21" ht="13">
      <c r="A837" s="28">
        <v>69</v>
      </c>
      <c r="B837" s="28">
        <v>163131</v>
      </c>
      <c r="C837" s="129" t="s">
        <v>1458</v>
      </c>
      <c r="D837" s="128" t="s">
        <v>509</v>
      </c>
      <c r="E837" s="128" t="s">
        <v>146</v>
      </c>
      <c r="F837" s="29">
        <v>27900</v>
      </c>
      <c r="G837" s="56" t="str">
        <f t="shared" ca="1" si="123"/>
        <v>V 40</v>
      </c>
      <c r="H837" s="28">
        <f t="shared" ca="1" si="124"/>
        <v>44</v>
      </c>
      <c r="J837" s="38" t="str">
        <f t="shared" si="118"/>
        <v>Liliana Pinto</v>
      </c>
      <c r="K837" s="39">
        <f t="shared" si="119"/>
        <v>69</v>
      </c>
      <c r="L837" s="39">
        <f t="shared" si="120"/>
        <v>163131</v>
      </c>
      <c r="M837" s="40">
        <f t="shared" si="125"/>
        <v>27900</v>
      </c>
      <c r="N837" s="41" t="str">
        <f t="shared" ca="1" si="126"/>
        <v>V 40</v>
      </c>
      <c r="O837" s="41" t="str">
        <f t="shared" si="121"/>
        <v>F</v>
      </c>
      <c r="P837" s="60" t="str">
        <f t="shared" si="122"/>
        <v>APCTT</v>
      </c>
      <c r="Q837" s="61"/>
    </row>
    <row r="838" spans="1:21" ht="13">
      <c r="A838" s="28">
        <v>965</v>
      </c>
      <c r="B838" s="28">
        <v>159379</v>
      </c>
      <c r="C838" s="129" t="s">
        <v>1295</v>
      </c>
      <c r="D838" s="128" t="s">
        <v>148</v>
      </c>
      <c r="E838" s="128" t="s">
        <v>145</v>
      </c>
      <c r="F838" s="29">
        <v>27682</v>
      </c>
      <c r="G838" s="56" t="str">
        <f t="shared" ca="1" si="123"/>
        <v>V 45</v>
      </c>
      <c r="H838" s="28">
        <f t="shared" ca="1" si="124"/>
        <v>45</v>
      </c>
      <c r="J838" s="38" t="str">
        <f t="shared" si="118"/>
        <v>Alejandro Rodrigues</v>
      </c>
      <c r="K838" s="39">
        <f t="shared" si="119"/>
        <v>965</v>
      </c>
      <c r="L838" s="39">
        <f t="shared" si="120"/>
        <v>159379</v>
      </c>
      <c r="M838" s="40">
        <f t="shared" si="125"/>
        <v>27682</v>
      </c>
      <c r="N838" s="41" t="str">
        <f t="shared" ca="1" si="126"/>
        <v>V 45</v>
      </c>
      <c r="O838" s="41" t="str">
        <f t="shared" si="121"/>
        <v>M</v>
      </c>
      <c r="P838" s="60" t="str">
        <f t="shared" si="122"/>
        <v>IND-M</v>
      </c>
      <c r="Q838" s="61"/>
    </row>
    <row r="839" spans="1:21" ht="13">
      <c r="A839" s="28">
        <v>1729</v>
      </c>
      <c r="B839" s="28">
        <v>157888</v>
      </c>
      <c r="C839" s="129" t="s">
        <v>1129</v>
      </c>
      <c r="D839" s="128" t="s">
        <v>509</v>
      </c>
      <c r="E839" s="128" t="s">
        <v>145</v>
      </c>
      <c r="F839" s="29">
        <v>37772</v>
      </c>
      <c r="G839" s="56" t="str">
        <f t="shared" ca="1" si="123"/>
        <v>Júnior</v>
      </c>
      <c r="H839" s="28">
        <f t="shared" ca="1" si="124"/>
        <v>17</v>
      </c>
      <c r="J839" s="38" t="str">
        <f t="shared" si="118"/>
        <v>Leandro Fernandes</v>
      </c>
      <c r="K839" s="39">
        <f t="shared" si="119"/>
        <v>1729</v>
      </c>
      <c r="L839" s="39">
        <f t="shared" si="120"/>
        <v>157888</v>
      </c>
      <c r="M839" s="40">
        <f t="shared" si="125"/>
        <v>37772</v>
      </c>
      <c r="N839" s="41" t="str">
        <f t="shared" ca="1" si="126"/>
        <v>Júnior</v>
      </c>
      <c r="O839" s="41" t="str">
        <f t="shared" si="121"/>
        <v>M</v>
      </c>
      <c r="P839" s="60" t="str">
        <f t="shared" si="122"/>
        <v>APCTT</v>
      </c>
      <c r="Q839" s="61"/>
    </row>
    <row r="840" spans="1:21" ht="13">
      <c r="A840" s="28">
        <v>1378</v>
      </c>
      <c r="B840" s="28">
        <v>163077</v>
      </c>
      <c r="C840" s="129" t="s">
        <v>1463</v>
      </c>
      <c r="D840" s="128" t="s">
        <v>509</v>
      </c>
      <c r="E840" s="128" t="s">
        <v>145</v>
      </c>
      <c r="F840" s="29">
        <v>27277</v>
      </c>
      <c r="G840" s="56" t="str">
        <f t="shared" ca="1" si="123"/>
        <v>V 45</v>
      </c>
      <c r="H840" s="28">
        <f t="shared" ca="1" si="124"/>
        <v>46</v>
      </c>
      <c r="J840" s="38" t="str">
        <f t="shared" si="118"/>
        <v>Nuno Sousa</v>
      </c>
      <c r="K840" s="39">
        <f t="shared" si="119"/>
        <v>1378</v>
      </c>
      <c r="L840" s="39">
        <f t="shared" si="120"/>
        <v>163077</v>
      </c>
      <c r="M840" s="40">
        <f t="shared" si="125"/>
        <v>27277</v>
      </c>
      <c r="N840" s="41" t="str">
        <f t="shared" ca="1" si="126"/>
        <v>V 45</v>
      </c>
      <c r="O840" s="41" t="str">
        <f t="shared" si="121"/>
        <v>M</v>
      </c>
      <c r="P840" s="60" t="str">
        <f t="shared" si="122"/>
        <v>APCTT</v>
      </c>
      <c r="Q840" s="61"/>
    </row>
    <row r="841" spans="1:21" ht="13">
      <c r="A841" s="28">
        <v>958</v>
      </c>
      <c r="B841" s="28">
        <v>123939</v>
      </c>
      <c r="C841" s="129" t="s">
        <v>318</v>
      </c>
      <c r="D841" s="128" t="s">
        <v>148</v>
      </c>
      <c r="E841" s="128" t="s">
        <v>145</v>
      </c>
      <c r="F841" s="29">
        <v>18084</v>
      </c>
      <c r="G841" s="56" t="str">
        <f t="shared" ca="1" si="123"/>
        <v>V 70</v>
      </c>
      <c r="H841" s="28">
        <f t="shared" ca="1" si="124"/>
        <v>71</v>
      </c>
      <c r="J841" s="38" t="str">
        <f t="shared" si="118"/>
        <v>António Ferreira</v>
      </c>
      <c r="K841" s="39">
        <f t="shared" si="119"/>
        <v>958</v>
      </c>
      <c r="L841" s="39">
        <f t="shared" si="120"/>
        <v>123939</v>
      </c>
      <c r="M841" s="40">
        <f t="shared" si="125"/>
        <v>18084</v>
      </c>
      <c r="N841" s="41" t="str">
        <f t="shared" ca="1" si="126"/>
        <v>V 70</v>
      </c>
      <c r="O841" s="41" t="str">
        <f t="shared" si="121"/>
        <v>M</v>
      </c>
      <c r="P841" s="60" t="str">
        <f t="shared" si="122"/>
        <v>IND-M</v>
      </c>
      <c r="Q841" s="61"/>
    </row>
    <row r="842" spans="1:21" ht="13">
      <c r="A842" s="28">
        <v>915</v>
      </c>
      <c r="B842" s="28">
        <v>136625</v>
      </c>
      <c r="C842" s="129" t="s">
        <v>432</v>
      </c>
      <c r="D842" s="128" t="s">
        <v>147</v>
      </c>
      <c r="E842" s="128" t="s">
        <v>145</v>
      </c>
      <c r="F842" s="29">
        <v>26591</v>
      </c>
      <c r="G842" s="56" t="str">
        <f t="shared" ca="1" si="123"/>
        <v>V 45</v>
      </c>
      <c r="H842" s="28">
        <f t="shared" ca="1" si="124"/>
        <v>48</v>
      </c>
      <c r="J842" s="38" t="str">
        <f t="shared" si="118"/>
        <v>Adérito Gouveia</v>
      </c>
      <c r="K842" s="39">
        <f t="shared" si="119"/>
        <v>915</v>
      </c>
      <c r="L842" s="39">
        <f t="shared" si="120"/>
        <v>136625</v>
      </c>
      <c r="M842" s="40">
        <f t="shared" si="125"/>
        <v>26591</v>
      </c>
      <c r="N842" s="41" t="str">
        <f t="shared" ca="1" si="126"/>
        <v>V 45</v>
      </c>
      <c r="O842" s="41" t="str">
        <f t="shared" si="121"/>
        <v>M</v>
      </c>
      <c r="P842" s="60" t="str">
        <f t="shared" si="122"/>
        <v>SCM-M</v>
      </c>
      <c r="Q842" s="61"/>
    </row>
    <row r="843" spans="1:21" ht="13">
      <c r="A843" s="28">
        <v>258</v>
      </c>
      <c r="B843" s="28">
        <v>136650</v>
      </c>
      <c r="C843" s="129" t="s">
        <v>430</v>
      </c>
      <c r="D843" s="128" t="s">
        <v>147</v>
      </c>
      <c r="E843" s="128" t="s">
        <v>146</v>
      </c>
      <c r="F843" s="29">
        <v>26214</v>
      </c>
      <c r="G843" s="56" t="str">
        <f t="shared" ca="1" si="123"/>
        <v>V 45</v>
      </c>
      <c r="H843" s="28">
        <f t="shared" ca="1" si="124"/>
        <v>49</v>
      </c>
      <c r="J843" s="38" t="str">
        <f t="shared" si="118"/>
        <v>Nélia Gouveia</v>
      </c>
      <c r="K843" s="39">
        <f t="shared" si="119"/>
        <v>258</v>
      </c>
      <c r="L843" s="39">
        <f t="shared" si="120"/>
        <v>136650</v>
      </c>
      <c r="M843" s="40">
        <f t="shared" si="125"/>
        <v>26214</v>
      </c>
      <c r="N843" s="41" t="str">
        <f t="shared" ca="1" si="126"/>
        <v>V 45</v>
      </c>
      <c r="O843" s="41" t="str">
        <f t="shared" si="121"/>
        <v>F</v>
      </c>
      <c r="P843" s="60" t="str">
        <f t="shared" si="122"/>
        <v>SCM-M</v>
      </c>
      <c r="Q843" s="61"/>
    </row>
    <row r="844" spans="1:21" ht="13">
      <c r="A844" s="28">
        <v>256</v>
      </c>
      <c r="B844" s="28">
        <v>130232</v>
      </c>
      <c r="C844" s="129" t="s">
        <v>310</v>
      </c>
      <c r="D844" s="128" t="s">
        <v>147</v>
      </c>
      <c r="E844" s="128" t="s">
        <v>146</v>
      </c>
      <c r="F844" s="29">
        <v>28754</v>
      </c>
      <c r="G844" s="56" t="str">
        <f t="shared" ca="1" si="123"/>
        <v>V 40</v>
      </c>
      <c r="H844" s="28">
        <f t="shared" ca="1" si="124"/>
        <v>42</v>
      </c>
      <c r="J844" s="38" t="str">
        <f t="shared" si="118"/>
        <v>Cesénia Faria</v>
      </c>
      <c r="K844" s="39">
        <f t="shared" si="119"/>
        <v>256</v>
      </c>
      <c r="L844" s="39">
        <f t="shared" si="120"/>
        <v>130232</v>
      </c>
      <c r="M844" s="40">
        <f t="shared" si="125"/>
        <v>28754</v>
      </c>
      <c r="N844" s="41" t="str">
        <f t="shared" ca="1" si="126"/>
        <v>V 40</v>
      </c>
      <c r="O844" s="41" t="str">
        <f t="shared" si="121"/>
        <v>F</v>
      </c>
      <c r="P844" s="60" t="str">
        <f t="shared" si="122"/>
        <v>SCM-M</v>
      </c>
      <c r="Q844" s="61"/>
    </row>
    <row r="845" spans="1:21" ht="13">
      <c r="A845" s="28">
        <v>257</v>
      </c>
      <c r="B845" s="28">
        <v>130912</v>
      </c>
      <c r="C845" s="129" t="s">
        <v>163</v>
      </c>
      <c r="D845" s="128" t="s">
        <v>147</v>
      </c>
      <c r="E845" s="128" t="s">
        <v>146</v>
      </c>
      <c r="F845" s="29">
        <v>28719</v>
      </c>
      <c r="G845" s="56" t="str">
        <f t="shared" ca="1" si="123"/>
        <v>V 40</v>
      </c>
      <c r="H845" s="28">
        <f t="shared" ca="1" si="124"/>
        <v>42</v>
      </c>
      <c r="J845" s="38" t="str">
        <f t="shared" si="118"/>
        <v>Vanda Abreu</v>
      </c>
      <c r="K845" s="39">
        <f t="shared" si="119"/>
        <v>257</v>
      </c>
      <c r="L845" s="39">
        <f t="shared" si="120"/>
        <v>130912</v>
      </c>
      <c r="M845" s="40">
        <f t="shared" si="125"/>
        <v>28719</v>
      </c>
      <c r="N845" s="41" t="str">
        <f t="shared" ca="1" si="126"/>
        <v>V 40</v>
      </c>
      <c r="O845" s="41" t="str">
        <f t="shared" si="121"/>
        <v>F</v>
      </c>
      <c r="P845" s="60" t="str">
        <f t="shared" si="122"/>
        <v>SCM-M</v>
      </c>
      <c r="Q845" s="61"/>
    </row>
    <row r="846" spans="1:21" ht="13">
      <c r="A846" s="28">
        <v>916</v>
      </c>
      <c r="B846" s="28">
        <v>130198</v>
      </c>
      <c r="C846" s="129" t="s">
        <v>313</v>
      </c>
      <c r="D846" s="128" t="s">
        <v>147</v>
      </c>
      <c r="E846" s="128" t="s">
        <v>145</v>
      </c>
      <c r="F846" s="29">
        <v>28027</v>
      </c>
      <c r="G846" s="56" t="str">
        <f t="shared" ca="1" si="123"/>
        <v>V 40</v>
      </c>
      <c r="H846" s="28">
        <f t="shared" ca="1" si="124"/>
        <v>44</v>
      </c>
      <c r="J846" s="38" t="str">
        <f t="shared" si="118"/>
        <v>Carlos A. Faria</v>
      </c>
      <c r="K846" s="39">
        <f t="shared" si="119"/>
        <v>916</v>
      </c>
      <c r="L846" s="39">
        <f t="shared" si="120"/>
        <v>130198</v>
      </c>
      <c r="M846" s="40">
        <f t="shared" si="125"/>
        <v>28027</v>
      </c>
      <c r="N846" s="41" t="str">
        <f t="shared" ca="1" si="126"/>
        <v>V 40</v>
      </c>
      <c r="O846" s="41" t="str">
        <f t="shared" si="121"/>
        <v>M</v>
      </c>
      <c r="P846" s="60" t="str">
        <f t="shared" si="122"/>
        <v>SCM-M</v>
      </c>
      <c r="Q846" s="61"/>
    </row>
    <row r="847" spans="1:21" ht="13">
      <c r="A847" s="28">
        <v>912</v>
      </c>
      <c r="B847" s="28">
        <v>137404</v>
      </c>
      <c r="C847" s="129" t="s">
        <v>1316</v>
      </c>
      <c r="D847" s="128" t="s">
        <v>147</v>
      </c>
      <c r="E847" s="128" t="s">
        <v>145</v>
      </c>
      <c r="F847" s="29">
        <v>23048</v>
      </c>
      <c r="G847" s="56" t="str">
        <f t="shared" ca="1" si="123"/>
        <v>V 55</v>
      </c>
      <c r="H847" s="28">
        <f t="shared" ca="1" si="124"/>
        <v>58</v>
      </c>
      <c r="J847" s="38" t="str">
        <f t="shared" si="118"/>
        <v>Paulo Campos</v>
      </c>
      <c r="K847" s="39">
        <f t="shared" si="119"/>
        <v>912</v>
      </c>
      <c r="L847" s="39">
        <f t="shared" si="120"/>
        <v>137404</v>
      </c>
      <c r="M847" s="40">
        <f t="shared" si="125"/>
        <v>23048</v>
      </c>
      <c r="N847" s="41" t="str">
        <f t="shared" ca="1" si="126"/>
        <v>V 55</v>
      </c>
      <c r="O847" s="41" t="str">
        <f t="shared" si="121"/>
        <v>M</v>
      </c>
      <c r="P847" s="60" t="str">
        <f t="shared" si="122"/>
        <v>SCM-M</v>
      </c>
      <c r="Q847" s="61"/>
    </row>
    <row r="848" spans="1:21" ht="13">
      <c r="A848" s="28">
        <v>913</v>
      </c>
      <c r="B848" s="28">
        <v>126947</v>
      </c>
      <c r="C848" s="129" t="s">
        <v>314</v>
      </c>
      <c r="D848" s="128" t="s">
        <v>147</v>
      </c>
      <c r="E848" s="128" t="s">
        <v>145</v>
      </c>
      <c r="F848" s="29">
        <v>25827</v>
      </c>
      <c r="G848" s="56" t="str">
        <f t="shared" ca="1" si="123"/>
        <v>V 50</v>
      </c>
      <c r="H848" s="28">
        <f t="shared" ca="1" si="124"/>
        <v>50</v>
      </c>
      <c r="J848" s="38" t="str">
        <f t="shared" si="118"/>
        <v>Nelson Rosário</v>
      </c>
      <c r="K848" s="39">
        <f t="shared" si="119"/>
        <v>913</v>
      </c>
      <c r="L848" s="39">
        <f t="shared" si="120"/>
        <v>126947</v>
      </c>
      <c r="M848" s="40">
        <f t="shared" si="125"/>
        <v>25827</v>
      </c>
      <c r="N848" s="41" t="str">
        <f t="shared" ca="1" si="126"/>
        <v>V 50</v>
      </c>
      <c r="O848" s="41" t="str">
        <f t="shared" si="121"/>
        <v>M</v>
      </c>
      <c r="P848" s="60" t="str">
        <f t="shared" si="122"/>
        <v>SCM-M</v>
      </c>
      <c r="Q848" s="61"/>
    </row>
    <row r="849" spans="1:17" ht="13">
      <c r="A849" s="28">
        <v>914</v>
      </c>
      <c r="B849" s="28">
        <v>130193</v>
      </c>
      <c r="C849" s="129" t="s">
        <v>616</v>
      </c>
      <c r="D849" s="128" t="s">
        <v>147</v>
      </c>
      <c r="E849" s="128" t="s">
        <v>145</v>
      </c>
      <c r="F849" s="29">
        <v>27623</v>
      </c>
      <c r="G849" s="56" t="str">
        <f t="shared" ca="1" si="123"/>
        <v>V 45</v>
      </c>
      <c r="H849" s="28">
        <f t="shared" ca="1" si="124"/>
        <v>45</v>
      </c>
      <c r="J849" s="38" t="str">
        <f t="shared" si="118"/>
        <v>Paulo Marques</v>
      </c>
      <c r="K849" s="39">
        <f t="shared" si="119"/>
        <v>914</v>
      </c>
      <c r="L849" s="39">
        <f t="shared" si="120"/>
        <v>130193</v>
      </c>
      <c r="M849" s="40">
        <f t="shared" si="125"/>
        <v>27623</v>
      </c>
      <c r="N849" s="41" t="str">
        <f t="shared" ca="1" si="126"/>
        <v>V 45</v>
      </c>
      <c r="O849" s="41" t="str">
        <f t="shared" si="121"/>
        <v>M</v>
      </c>
      <c r="P849" s="60" t="str">
        <f t="shared" si="122"/>
        <v>SCM-M</v>
      </c>
      <c r="Q849" s="61"/>
    </row>
    <row r="850" spans="1:17" ht="13">
      <c r="A850" s="28">
        <v>259</v>
      </c>
      <c r="B850" s="28">
        <v>127137</v>
      </c>
      <c r="C850" s="129" t="s">
        <v>311</v>
      </c>
      <c r="D850" s="128" t="s">
        <v>147</v>
      </c>
      <c r="E850" s="128" t="s">
        <v>146</v>
      </c>
      <c r="F850" s="29">
        <v>23235</v>
      </c>
      <c r="G850" s="56" t="str">
        <f t="shared" ca="1" si="123"/>
        <v>V 55</v>
      </c>
      <c r="H850" s="28">
        <f t="shared" ca="1" si="124"/>
        <v>57</v>
      </c>
      <c r="J850" s="38" t="str">
        <f t="shared" si="118"/>
        <v>Laura Faia</v>
      </c>
      <c r="K850" s="39">
        <f t="shared" si="119"/>
        <v>259</v>
      </c>
      <c r="L850" s="39">
        <f t="shared" si="120"/>
        <v>127137</v>
      </c>
      <c r="M850" s="40">
        <f t="shared" si="125"/>
        <v>23235</v>
      </c>
      <c r="N850" s="41" t="str">
        <f t="shared" ca="1" si="126"/>
        <v>V 55</v>
      </c>
      <c r="O850" s="41" t="str">
        <f t="shared" si="121"/>
        <v>F</v>
      </c>
      <c r="P850" s="60" t="str">
        <f t="shared" si="122"/>
        <v>SCM-M</v>
      </c>
      <c r="Q850" s="61"/>
    </row>
    <row r="851" spans="1:17" ht="13">
      <c r="A851" s="28">
        <v>866</v>
      </c>
      <c r="B851" s="28">
        <v>127143</v>
      </c>
      <c r="C851" s="129" t="s">
        <v>312</v>
      </c>
      <c r="D851" s="128" t="s">
        <v>147</v>
      </c>
      <c r="E851" s="128" t="s">
        <v>145</v>
      </c>
      <c r="F851" s="29">
        <v>20329</v>
      </c>
      <c r="G851" s="56" t="str">
        <f t="shared" ca="1" si="123"/>
        <v>V 65</v>
      </c>
      <c r="H851" s="28">
        <f t="shared" ca="1" si="124"/>
        <v>65</v>
      </c>
      <c r="J851" s="38" t="str">
        <f t="shared" si="118"/>
        <v>Agostinho Fernandes</v>
      </c>
      <c r="K851" s="39">
        <f t="shared" si="119"/>
        <v>866</v>
      </c>
      <c r="L851" s="39">
        <f t="shared" si="120"/>
        <v>127143</v>
      </c>
      <c r="M851" s="40">
        <f t="shared" si="125"/>
        <v>20329</v>
      </c>
      <c r="N851" s="41" t="str">
        <f t="shared" ca="1" si="126"/>
        <v>V 65</v>
      </c>
      <c r="O851" s="41" t="str">
        <f t="shared" si="121"/>
        <v>M</v>
      </c>
      <c r="P851" s="60" t="str">
        <f t="shared" si="122"/>
        <v>SCM-M</v>
      </c>
      <c r="Q851" s="61"/>
    </row>
    <row r="852" spans="1:17" ht="13">
      <c r="A852" s="28">
        <v>3</v>
      </c>
      <c r="B852" s="28">
        <v>159009</v>
      </c>
      <c r="C852" s="129" t="s">
        <v>1631</v>
      </c>
      <c r="D852" s="128" t="s">
        <v>1646</v>
      </c>
      <c r="E852" s="128" t="s">
        <v>146</v>
      </c>
      <c r="F852" s="29">
        <v>25598</v>
      </c>
      <c r="G852" s="56" t="str">
        <f t="shared" ca="1" si="123"/>
        <v>V 50</v>
      </c>
      <c r="H852" s="28">
        <f t="shared" ca="1" si="124"/>
        <v>51</v>
      </c>
      <c r="J852" s="38" t="str">
        <f t="shared" si="118"/>
        <v>Délia Freitas</v>
      </c>
      <c r="K852" s="39">
        <f t="shared" si="119"/>
        <v>3</v>
      </c>
      <c r="L852" s="39">
        <f t="shared" si="120"/>
        <v>159009</v>
      </c>
      <c r="M852" s="40">
        <f t="shared" si="125"/>
        <v>25598</v>
      </c>
      <c r="N852" s="41" t="str">
        <f t="shared" ca="1" si="126"/>
        <v>V 50</v>
      </c>
      <c r="O852" s="41" t="str">
        <f t="shared" si="121"/>
        <v>F</v>
      </c>
      <c r="P852" s="60" t="str">
        <f t="shared" si="122"/>
        <v>AAM-M</v>
      </c>
      <c r="Q852" s="61"/>
    </row>
    <row r="853" spans="1:17" ht="13">
      <c r="A853" s="28">
        <v>2054</v>
      </c>
      <c r="B853" s="28">
        <v>163636</v>
      </c>
      <c r="C853" s="129" t="s">
        <v>1634</v>
      </c>
      <c r="D853" s="128" t="s">
        <v>1646</v>
      </c>
      <c r="E853" s="128" t="s">
        <v>146</v>
      </c>
      <c r="F853" s="29">
        <v>40482</v>
      </c>
      <c r="G853" s="56" t="str">
        <f t="shared" ca="1" si="123"/>
        <v>Benjamim B</v>
      </c>
      <c r="H853" s="28">
        <f t="shared" ca="1" si="124"/>
        <v>10</v>
      </c>
      <c r="J853" s="38" t="str">
        <f t="shared" si="118"/>
        <v>Margarida Mendes</v>
      </c>
      <c r="K853" s="39">
        <f t="shared" si="119"/>
        <v>2054</v>
      </c>
      <c r="L853" s="39">
        <f t="shared" si="120"/>
        <v>163636</v>
      </c>
      <c r="M853" s="40">
        <f t="shared" si="125"/>
        <v>40482</v>
      </c>
      <c r="N853" s="41" t="str">
        <f t="shared" ca="1" si="126"/>
        <v>Benjamim B</v>
      </c>
      <c r="O853" s="41" t="str">
        <f t="shared" si="121"/>
        <v>F</v>
      </c>
      <c r="P853" s="60" t="str">
        <f t="shared" si="122"/>
        <v>AAM-M</v>
      </c>
      <c r="Q853" s="61"/>
    </row>
    <row r="854" spans="1:17" ht="13">
      <c r="A854" s="28">
        <v>1901</v>
      </c>
      <c r="B854" s="28">
        <v>163707</v>
      </c>
      <c r="C854" s="129" t="s">
        <v>1635</v>
      </c>
      <c r="D854" s="128" t="s">
        <v>1646</v>
      </c>
      <c r="E854" s="128" t="s">
        <v>146</v>
      </c>
      <c r="F854" s="29">
        <v>39985</v>
      </c>
      <c r="G854" s="56" t="str">
        <f t="shared" ca="1" si="123"/>
        <v>Infantil</v>
      </c>
      <c r="H854" s="28">
        <f t="shared" ca="1" si="124"/>
        <v>11</v>
      </c>
      <c r="J854" s="38" t="str">
        <f t="shared" si="118"/>
        <v>Maria Vasconcelos</v>
      </c>
      <c r="K854" s="39">
        <f t="shared" si="119"/>
        <v>1901</v>
      </c>
      <c r="L854" s="39">
        <f t="shared" si="120"/>
        <v>163707</v>
      </c>
      <c r="M854" s="40">
        <f t="shared" si="125"/>
        <v>39985</v>
      </c>
      <c r="N854" s="41" t="str">
        <f t="shared" ca="1" si="126"/>
        <v>Infantil</v>
      </c>
      <c r="O854" s="41" t="str">
        <f t="shared" si="121"/>
        <v>F</v>
      </c>
      <c r="P854" s="60" t="str">
        <f t="shared" si="122"/>
        <v>AAM-M</v>
      </c>
      <c r="Q854" s="61"/>
    </row>
    <row r="855" spans="1:17" ht="13">
      <c r="A855" s="28">
        <v>7</v>
      </c>
      <c r="B855" s="28">
        <v>150003</v>
      </c>
      <c r="C855" s="129" t="s">
        <v>790</v>
      </c>
      <c r="D855" s="128" t="s">
        <v>1236</v>
      </c>
      <c r="E855" s="128" t="s">
        <v>146</v>
      </c>
      <c r="F855" s="29">
        <v>36144</v>
      </c>
      <c r="G855" s="56" t="str">
        <f t="shared" ca="1" si="123"/>
        <v>Sénior</v>
      </c>
      <c r="H855" s="28">
        <f t="shared" ca="1" si="124"/>
        <v>22</v>
      </c>
      <c r="J855" s="38" t="str">
        <f t="shared" si="118"/>
        <v>Sofia J. Silva</v>
      </c>
      <c r="K855" s="39">
        <f t="shared" si="119"/>
        <v>7</v>
      </c>
      <c r="L855" s="39">
        <f t="shared" si="120"/>
        <v>150003</v>
      </c>
      <c r="M855" s="40">
        <f t="shared" si="125"/>
        <v>36144</v>
      </c>
      <c r="N855" s="41" t="str">
        <f t="shared" ca="1" si="126"/>
        <v>Sénior</v>
      </c>
      <c r="O855" s="41" t="str">
        <f t="shared" si="121"/>
        <v>F</v>
      </c>
      <c r="P855" s="60" t="str">
        <f t="shared" si="122"/>
        <v>ADC</v>
      </c>
      <c r="Q855" s="61"/>
    </row>
    <row r="856" spans="1:17" ht="13">
      <c r="A856" s="28">
        <v>1519</v>
      </c>
      <c r="B856" s="28">
        <v>161113</v>
      </c>
      <c r="C856" s="129" t="s">
        <v>1391</v>
      </c>
      <c r="D856" s="128" t="s">
        <v>1236</v>
      </c>
      <c r="E856" s="128" t="s">
        <v>145</v>
      </c>
      <c r="F856" s="29">
        <v>22314</v>
      </c>
      <c r="G856" s="56" t="str">
        <f t="shared" ca="1" si="123"/>
        <v>V 60</v>
      </c>
      <c r="H856" s="28">
        <f t="shared" ca="1" si="124"/>
        <v>60</v>
      </c>
      <c r="J856" s="38" t="str">
        <f t="shared" si="118"/>
        <v>Carlos Gomes</v>
      </c>
      <c r="K856" s="39">
        <f t="shared" si="119"/>
        <v>1519</v>
      </c>
      <c r="L856" s="39">
        <f t="shared" si="120"/>
        <v>161113</v>
      </c>
      <c r="M856" s="40">
        <f t="shared" si="125"/>
        <v>22314</v>
      </c>
      <c r="N856" s="41" t="str">
        <f t="shared" ca="1" si="126"/>
        <v>V 60</v>
      </c>
      <c r="O856" s="41" t="str">
        <f t="shared" si="121"/>
        <v>M</v>
      </c>
      <c r="P856" s="60" t="str">
        <f t="shared" si="122"/>
        <v>ADC</v>
      </c>
      <c r="Q856" s="61"/>
    </row>
    <row r="857" spans="1:17" ht="13">
      <c r="A857" s="28">
        <v>1530</v>
      </c>
      <c r="B857" s="28">
        <v>147415</v>
      </c>
      <c r="C857" s="129" t="s">
        <v>712</v>
      </c>
      <c r="D857" s="128" t="s">
        <v>1236</v>
      </c>
      <c r="E857" s="128" t="s">
        <v>145</v>
      </c>
      <c r="F857" s="29">
        <v>29584</v>
      </c>
      <c r="G857" s="56" t="str">
        <f t="shared" ca="1" si="123"/>
        <v>V 40</v>
      </c>
      <c r="H857" s="28">
        <f t="shared" ca="1" si="124"/>
        <v>40</v>
      </c>
      <c r="J857" s="38" t="str">
        <f t="shared" si="118"/>
        <v>Marco Brasil</v>
      </c>
      <c r="K857" s="39">
        <f t="shared" si="119"/>
        <v>1530</v>
      </c>
      <c r="L857" s="39">
        <f t="shared" si="120"/>
        <v>147415</v>
      </c>
      <c r="M857" s="40">
        <f t="shared" si="125"/>
        <v>29584</v>
      </c>
      <c r="N857" s="41" t="str">
        <f t="shared" ca="1" si="126"/>
        <v>V 40</v>
      </c>
      <c r="O857" s="41" t="str">
        <f t="shared" si="121"/>
        <v>M</v>
      </c>
      <c r="P857" s="60" t="str">
        <f t="shared" si="122"/>
        <v>ADC</v>
      </c>
      <c r="Q857" s="61"/>
    </row>
    <row r="858" spans="1:17" ht="13">
      <c r="A858" s="28">
        <v>1534</v>
      </c>
      <c r="B858" s="28">
        <v>149494</v>
      </c>
      <c r="C858" s="129" t="s">
        <v>784</v>
      </c>
      <c r="D858" s="128" t="s">
        <v>1236</v>
      </c>
      <c r="E858" s="128" t="s">
        <v>145</v>
      </c>
      <c r="F858" s="29">
        <v>32544</v>
      </c>
      <c r="G858" s="56" t="str">
        <f t="shared" ca="1" si="123"/>
        <v>Sénior</v>
      </c>
      <c r="H858" s="28">
        <f t="shared" ca="1" si="124"/>
        <v>32</v>
      </c>
      <c r="J858" s="38" t="str">
        <f t="shared" si="118"/>
        <v>Abílio Sousa</v>
      </c>
      <c r="K858" s="39">
        <f t="shared" si="119"/>
        <v>1534</v>
      </c>
      <c r="L858" s="39">
        <f t="shared" si="120"/>
        <v>149494</v>
      </c>
      <c r="M858" s="40">
        <f t="shared" si="125"/>
        <v>32544</v>
      </c>
      <c r="N858" s="41" t="str">
        <f t="shared" ca="1" si="126"/>
        <v>Sénior</v>
      </c>
      <c r="O858" s="41" t="str">
        <f t="shared" si="121"/>
        <v>M</v>
      </c>
      <c r="P858" s="60" t="str">
        <f t="shared" si="122"/>
        <v>ADC</v>
      </c>
      <c r="Q858" s="61"/>
    </row>
    <row r="859" spans="1:17" ht="13">
      <c r="A859" s="28">
        <v>10</v>
      </c>
      <c r="B859" s="28">
        <v>145688</v>
      </c>
      <c r="C859" s="129" t="s">
        <v>758</v>
      </c>
      <c r="D859" s="128" t="s">
        <v>1236</v>
      </c>
      <c r="E859" s="128" t="s">
        <v>146</v>
      </c>
      <c r="F859" s="29">
        <v>31264</v>
      </c>
      <c r="G859" s="56" t="str">
        <f t="shared" ca="1" si="123"/>
        <v>V 35</v>
      </c>
      <c r="H859" s="28">
        <f t="shared" ca="1" si="124"/>
        <v>35</v>
      </c>
      <c r="J859" s="38" t="str">
        <f t="shared" si="118"/>
        <v>Márcia Sumares</v>
      </c>
      <c r="K859" s="39">
        <f t="shared" si="119"/>
        <v>10</v>
      </c>
      <c r="L859" s="39">
        <f t="shared" si="120"/>
        <v>145688</v>
      </c>
      <c r="M859" s="40">
        <f t="shared" si="125"/>
        <v>31264</v>
      </c>
      <c r="N859" s="41" t="str">
        <f t="shared" ca="1" si="126"/>
        <v>V 35</v>
      </c>
      <c r="O859" s="41" t="str">
        <f t="shared" si="121"/>
        <v>F</v>
      </c>
      <c r="P859" s="60" t="str">
        <f t="shared" si="122"/>
        <v>ADC</v>
      </c>
      <c r="Q859" s="61"/>
    </row>
    <row r="860" spans="1:17" ht="13">
      <c r="A860" s="28">
        <v>1533</v>
      </c>
      <c r="B860" s="28">
        <v>150118</v>
      </c>
      <c r="C860" s="129" t="s">
        <v>794</v>
      </c>
      <c r="D860" s="128" t="s">
        <v>1236</v>
      </c>
      <c r="E860" s="128" t="s">
        <v>145</v>
      </c>
      <c r="F860" s="29">
        <v>33734</v>
      </c>
      <c r="G860" s="56" t="str">
        <f t="shared" ca="1" si="123"/>
        <v>Sénior</v>
      </c>
      <c r="H860" s="28">
        <f t="shared" ca="1" si="124"/>
        <v>28</v>
      </c>
      <c r="J860" s="38" t="str">
        <f t="shared" si="118"/>
        <v>António Camacho</v>
      </c>
      <c r="K860" s="39">
        <f t="shared" si="119"/>
        <v>1533</v>
      </c>
      <c r="L860" s="39">
        <f t="shared" si="120"/>
        <v>150118</v>
      </c>
      <c r="M860" s="40">
        <f t="shared" si="125"/>
        <v>33734</v>
      </c>
      <c r="N860" s="41" t="str">
        <f t="shared" ca="1" si="126"/>
        <v>Sénior</v>
      </c>
      <c r="O860" s="41" t="str">
        <f t="shared" si="121"/>
        <v>M</v>
      </c>
      <c r="P860" s="60" t="str">
        <f t="shared" si="122"/>
        <v>ADC</v>
      </c>
      <c r="Q860" s="61"/>
    </row>
    <row r="861" spans="1:17" ht="13">
      <c r="A861" s="28">
        <v>1522</v>
      </c>
      <c r="B861" s="28">
        <v>151824</v>
      </c>
      <c r="C861" s="129" t="s">
        <v>868</v>
      </c>
      <c r="D861" s="128" t="s">
        <v>1236</v>
      </c>
      <c r="E861" s="128" t="s">
        <v>145</v>
      </c>
      <c r="F861" s="29">
        <v>26949</v>
      </c>
      <c r="G861" s="56" t="str">
        <f t="shared" ca="1" si="123"/>
        <v>V 45</v>
      </c>
      <c r="H861" s="28">
        <f t="shared" ca="1" si="124"/>
        <v>47</v>
      </c>
      <c r="J861" s="38" t="str">
        <f t="shared" si="118"/>
        <v>Sérgio Gonçalves</v>
      </c>
      <c r="K861" s="39">
        <f t="shared" si="119"/>
        <v>1522</v>
      </c>
      <c r="L861" s="39">
        <f t="shared" si="120"/>
        <v>151824</v>
      </c>
      <c r="M861" s="40">
        <f t="shared" si="125"/>
        <v>26949</v>
      </c>
      <c r="N861" s="41" t="str">
        <f t="shared" ca="1" si="126"/>
        <v>V 45</v>
      </c>
      <c r="O861" s="41" t="str">
        <f t="shared" si="121"/>
        <v>M</v>
      </c>
      <c r="P861" s="60" t="str">
        <f t="shared" si="122"/>
        <v>ADC</v>
      </c>
      <c r="Q861" s="61"/>
    </row>
    <row r="862" spans="1:17" ht="13">
      <c r="A862" s="28">
        <v>12</v>
      </c>
      <c r="B862" s="28">
        <v>153603</v>
      </c>
      <c r="C862" s="129" t="s">
        <v>864</v>
      </c>
      <c r="D862" s="128" t="s">
        <v>1236</v>
      </c>
      <c r="E862" s="128" t="s">
        <v>146</v>
      </c>
      <c r="F862" s="29">
        <v>26843</v>
      </c>
      <c r="G862" s="56" t="str">
        <f t="shared" ca="1" si="123"/>
        <v>V 45</v>
      </c>
      <c r="H862" s="28">
        <f t="shared" ca="1" si="124"/>
        <v>47</v>
      </c>
      <c r="J862" s="38" t="str">
        <f t="shared" si="118"/>
        <v>Mariza Góis</v>
      </c>
      <c r="K862" s="39">
        <f t="shared" si="119"/>
        <v>12</v>
      </c>
      <c r="L862" s="39">
        <f t="shared" si="120"/>
        <v>153603</v>
      </c>
      <c r="M862" s="40">
        <f t="shared" si="125"/>
        <v>26843</v>
      </c>
      <c r="N862" s="41" t="str">
        <f t="shared" ca="1" si="126"/>
        <v>V 45</v>
      </c>
      <c r="O862" s="41" t="str">
        <f t="shared" si="121"/>
        <v>F</v>
      </c>
      <c r="P862" s="60" t="str">
        <f t="shared" si="122"/>
        <v>ADC</v>
      </c>
      <c r="Q862" s="61"/>
    </row>
    <row r="863" spans="1:17" ht="13">
      <c r="A863" s="28">
        <v>1527</v>
      </c>
      <c r="B863" s="28">
        <v>152239</v>
      </c>
      <c r="C863" s="129" t="s">
        <v>869</v>
      </c>
      <c r="D863" s="128" t="s">
        <v>1236</v>
      </c>
      <c r="E863" s="128" t="s">
        <v>145</v>
      </c>
      <c r="F863" s="29">
        <v>29387</v>
      </c>
      <c r="G863" s="56" t="str">
        <f t="shared" ca="1" si="123"/>
        <v>V 40</v>
      </c>
      <c r="H863" s="28">
        <f t="shared" ca="1" si="124"/>
        <v>40</v>
      </c>
      <c r="J863" s="38" t="str">
        <f t="shared" si="118"/>
        <v>Honório Rodrigues</v>
      </c>
      <c r="K863" s="39">
        <f t="shared" si="119"/>
        <v>1527</v>
      </c>
      <c r="L863" s="39">
        <f t="shared" si="120"/>
        <v>152239</v>
      </c>
      <c r="M863" s="40">
        <f t="shared" si="125"/>
        <v>29387</v>
      </c>
      <c r="N863" s="41" t="str">
        <f t="shared" ca="1" si="126"/>
        <v>V 40</v>
      </c>
      <c r="O863" s="41" t="str">
        <f t="shared" si="121"/>
        <v>M</v>
      </c>
      <c r="P863" s="60" t="str">
        <f t="shared" si="122"/>
        <v>ADC</v>
      </c>
      <c r="Q863" s="61"/>
    </row>
    <row r="864" spans="1:17" ht="13">
      <c r="A864" s="28">
        <v>1518</v>
      </c>
      <c r="B864" s="28">
        <v>140272</v>
      </c>
      <c r="C864" s="129" t="s">
        <v>708</v>
      </c>
      <c r="D864" s="128" t="s">
        <v>1236</v>
      </c>
      <c r="E864" s="128" t="s">
        <v>145</v>
      </c>
      <c r="F864" s="29">
        <v>23495</v>
      </c>
      <c r="G864" s="56" t="str">
        <f t="shared" ca="1" si="123"/>
        <v>V 55</v>
      </c>
      <c r="H864" s="28">
        <f t="shared" ca="1" si="124"/>
        <v>56</v>
      </c>
      <c r="J864" s="38" t="str">
        <f t="shared" si="118"/>
        <v>Paulo Santos</v>
      </c>
      <c r="K864" s="39">
        <f t="shared" si="119"/>
        <v>1518</v>
      </c>
      <c r="L864" s="39">
        <f t="shared" si="120"/>
        <v>140272</v>
      </c>
      <c r="M864" s="40">
        <f t="shared" si="125"/>
        <v>23495</v>
      </c>
      <c r="N864" s="41" t="str">
        <f t="shared" ca="1" si="126"/>
        <v>V 55</v>
      </c>
      <c r="O864" s="41" t="str">
        <f t="shared" si="121"/>
        <v>M</v>
      </c>
      <c r="P864" s="60" t="str">
        <f t="shared" si="122"/>
        <v>ADC</v>
      </c>
      <c r="Q864" s="61"/>
    </row>
    <row r="865" spans="1:17" ht="13">
      <c r="A865" s="28">
        <v>931</v>
      </c>
      <c r="B865" s="28">
        <v>131664</v>
      </c>
      <c r="C865" s="129" t="s">
        <v>308</v>
      </c>
      <c r="D865" s="128" t="s">
        <v>168</v>
      </c>
      <c r="E865" s="128" t="s">
        <v>145</v>
      </c>
      <c r="F865" s="29">
        <v>27137</v>
      </c>
      <c r="G865" s="56" t="str">
        <f t="shared" ca="1" si="123"/>
        <v>V 45</v>
      </c>
      <c r="H865" s="28">
        <f t="shared" ca="1" si="124"/>
        <v>47</v>
      </c>
      <c r="J865" s="38" t="str">
        <f t="shared" si="118"/>
        <v>Narciso Chaves</v>
      </c>
      <c r="K865" s="39">
        <f t="shared" si="119"/>
        <v>931</v>
      </c>
      <c r="L865" s="39">
        <f t="shared" si="120"/>
        <v>131664</v>
      </c>
      <c r="M865" s="40">
        <f t="shared" si="125"/>
        <v>27137</v>
      </c>
      <c r="N865" s="41" t="str">
        <f t="shared" ca="1" si="126"/>
        <v>V 45</v>
      </c>
      <c r="O865" s="41" t="str">
        <f t="shared" si="121"/>
        <v>M</v>
      </c>
      <c r="P865" s="60" t="str">
        <f t="shared" si="122"/>
        <v>MTT</v>
      </c>
      <c r="Q865" s="61"/>
    </row>
    <row r="866" spans="1:17" ht="13">
      <c r="A866" s="28">
        <v>930</v>
      </c>
      <c r="B866" s="28">
        <v>131876</v>
      </c>
      <c r="C866" s="129" t="s">
        <v>1294</v>
      </c>
      <c r="D866" s="128" t="s">
        <v>168</v>
      </c>
      <c r="E866" s="128" t="s">
        <v>145</v>
      </c>
      <c r="F866" s="29">
        <v>26217</v>
      </c>
      <c r="G866" s="56" t="str">
        <f t="shared" ca="1" si="123"/>
        <v>V 45</v>
      </c>
      <c r="H866" s="28">
        <f t="shared" ca="1" si="124"/>
        <v>49</v>
      </c>
      <c r="J866" s="38" t="str">
        <f t="shared" si="118"/>
        <v>Frederico Silva</v>
      </c>
      <c r="K866" s="39">
        <f t="shared" si="119"/>
        <v>930</v>
      </c>
      <c r="L866" s="39">
        <f t="shared" si="120"/>
        <v>131876</v>
      </c>
      <c r="M866" s="40">
        <f t="shared" si="125"/>
        <v>26217</v>
      </c>
      <c r="N866" s="41" t="str">
        <f t="shared" ca="1" si="126"/>
        <v>V 45</v>
      </c>
      <c r="O866" s="41" t="str">
        <f t="shared" si="121"/>
        <v>M</v>
      </c>
      <c r="P866" s="60" t="str">
        <f t="shared" si="122"/>
        <v>MTT</v>
      </c>
      <c r="Q866" s="61"/>
    </row>
    <row r="867" spans="1:17" ht="13">
      <c r="A867" s="28">
        <v>253</v>
      </c>
      <c r="B867" s="28">
        <v>131665</v>
      </c>
      <c r="C867" s="129" t="s">
        <v>306</v>
      </c>
      <c r="D867" s="128" t="s">
        <v>168</v>
      </c>
      <c r="E867" s="128" t="s">
        <v>146</v>
      </c>
      <c r="F867" s="29">
        <v>28589</v>
      </c>
      <c r="G867" s="56" t="str">
        <f t="shared" ca="1" si="123"/>
        <v>V 40</v>
      </c>
      <c r="H867" s="28">
        <f t="shared" ca="1" si="124"/>
        <v>43</v>
      </c>
      <c r="J867" s="38" t="str">
        <f t="shared" si="118"/>
        <v>Dora Câmara</v>
      </c>
      <c r="K867" s="39">
        <f t="shared" si="119"/>
        <v>253</v>
      </c>
      <c r="L867" s="39">
        <f t="shared" si="120"/>
        <v>131665</v>
      </c>
      <c r="M867" s="40">
        <f t="shared" si="125"/>
        <v>28589</v>
      </c>
      <c r="N867" s="41" t="str">
        <f t="shared" ca="1" si="126"/>
        <v>V 40</v>
      </c>
      <c r="O867" s="41" t="str">
        <f t="shared" si="121"/>
        <v>F</v>
      </c>
      <c r="P867" s="60" t="str">
        <f t="shared" si="122"/>
        <v>MTT</v>
      </c>
      <c r="Q867" s="61"/>
    </row>
    <row r="868" spans="1:17" ht="13">
      <c r="A868" s="28">
        <v>929</v>
      </c>
      <c r="B868" s="28">
        <v>141426</v>
      </c>
      <c r="C868" s="129" t="s">
        <v>986</v>
      </c>
      <c r="D868" s="128" t="s">
        <v>168</v>
      </c>
      <c r="E868" s="128" t="s">
        <v>145</v>
      </c>
      <c r="F868" s="29">
        <v>27566</v>
      </c>
      <c r="G868" s="56" t="str">
        <f t="shared" ca="1" si="123"/>
        <v>V 45</v>
      </c>
      <c r="H868" s="28">
        <f t="shared" ca="1" si="124"/>
        <v>45</v>
      </c>
      <c r="J868" s="38" t="str">
        <f t="shared" si="118"/>
        <v>J. João Fernandes</v>
      </c>
      <c r="K868" s="39">
        <f t="shared" si="119"/>
        <v>929</v>
      </c>
      <c r="L868" s="39">
        <f t="shared" si="120"/>
        <v>141426</v>
      </c>
      <c r="M868" s="40">
        <f t="shared" si="125"/>
        <v>27566</v>
      </c>
      <c r="N868" s="41" t="str">
        <f t="shared" ca="1" si="126"/>
        <v>V 45</v>
      </c>
      <c r="O868" s="41" t="str">
        <f t="shared" si="121"/>
        <v>M</v>
      </c>
      <c r="P868" s="60" t="str">
        <f t="shared" si="122"/>
        <v>MTT</v>
      </c>
      <c r="Q868" s="61"/>
    </row>
    <row r="869" spans="1:17" ht="13">
      <c r="A869" s="28">
        <v>255</v>
      </c>
      <c r="B869" s="28">
        <v>159386</v>
      </c>
      <c r="C869" s="129" t="s">
        <v>1184</v>
      </c>
      <c r="D869" s="128" t="s">
        <v>168</v>
      </c>
      <c r="E869" s="128" t="s">
        <v>146</v>
      </c>
      <c r="F869" s="29">
        <v>25621</v>
      </c>
      <c r="G869" s="56" t="str">
        <f t="shared" ca="1" si="123"/>
        <v>V 50</v>
      </c>
      <c r="H869" s="28">
        <f t="shared" ca="1" si="124"/>
        <v>51</v>
      </c>
      <c r="J869" s="38" t="str">
        <f t="shared" si="118"/>
        <v>Iva Freitas</v>
      </c>
      <c r="K869" s="39">
        <f t="shared" si="119"/>
        <v>255</v>
      </c>
      <c r="L869" s="39">
        <f t="shared" si="120"/>
        <v>159386</v>
      </c>
      <c r="M869" s="40">
        <f t="shared" si="125"/>
        <v>25621</v>
      </c>
      <c r="N869" s="41" t="str">
        <f t="shared" ca="1" si="126"/>
        <v>V 50</v>
      </c>
      <c r="O869" s="41" t="str">
        <f t="shared" si="121"/>
        <v>F</v>
      </c>
      <c r="P869" s="60" t="str">
        <f t="shared" si="122"/>
        <v>MTT</v>
      </c>
      <c r="Q869" s="61"/>
    </row>
    <row r="870" spans="1:17" ht="13">
      <c r="A870" s="28">
        <v>928</v>
      </c>
      <c r="B870" s="28">
        <v>135531</v>
      </c>
      <c r="C870" s="129" t="s">
        <v>404</v>
      </c>
      <c r="D870" s="128" t="s">
        <v>168</v>
      </c>
      <c r="E870" s="128" t="s">
        <v>145</v>
      </c>
      <c r="F870" s="29">
        <v>27499</v>
      </c>
      <c r="G870" s="56" t="str">
        <f t="shared" ca="1" si="123"/>
        <v>V 45</v>
      </c>
      <c r="H870" s="28">
        <f t="shared" ca="1" si="124"/>
        <v>46</v>
      </c>
      <c r="J870" s="38" t="str">
        <f t="shared" si="118"/>
        <v>Paulo Leão</v>
      </c>
      <c r="K870" s="39">
        <f t="shared" si="119"/>
        <v>928</v>
      </c>
      <c r="L870" s="39">
        <f t="shared" si="120"/>
        <v>135531</v>
      </c>
      <c r="M870" s="40">
        <f t="shared" si="125"/>
        <v>27499</v>
      </c>
      <c r="N870" s="41" t="str">
        <f t="shared" ca="1" si="126"/>
        <v>V 45</v>
      </c>
      <c r="O870" s="41" t="str">
        <f t="shared" si="121"/>
        <v>M</v>
      </c>
      <c r="P870" s="60" t="str">
        <f t="shared" si="122"/>
        <v>MTT</v>
      </c>
      <c r="Q870" s="61"/>
    </row>
    <row r="871" spans="1:17" ht="13">
      <c r="A871" s="28">
        <v>936</v>
      </c>
      <c r="B871" s="28">
        <v>131667</v>
      </c>
      <c r="C871" s="129" t="s">
        <v>1186</v>
      </c>
      <c r="D871" s="128" t="s">
        <v>168</v>
      </c>
      <c r="E871" s="128" t="s">
        <v>145</v>
      </c>
      <c r="F871" s="29">
        <v>31921</v>
      </c>
      <c r="G871" s="56" t="str">
        <f t="shared" ca="1" si="123"/>
        <v>Sénior</v>
      </c>
      <c r="H871" s="28">
        <f t="shared" ca="1" si="124"/>
        <v>33</v>
      </c>
      <c r="J871" s="38" t="str">
        <f t="shared" si="118"/>
        <v>Carlos J. Gouveia</v>
      </c>
      <c r="K871" s="39">
        <f t="shared" si="119"/>
        <v>936</v>
      </c>
      <c r="L871" s="39">
        <f t="shared" si="120"/>
        <v>131667</v>
      </c>
      <c r="M871" s="40">
        <f t="shared" si="125"/>
        <v>31921</v>
      </c>
      <c r="N871" s="41" t="str">
        <f t="shared" ca="1" si="126"/>
        <v>Sénior</v>
      </c>
      <c r="O871" s="41" t="str">
        <f t="shared" si="121"/>
        <v>M</v>
      </c>
      <c r="P871" s="60" t="str">
        <f t="shared" si="122"/>
        <v>MTT</v>
      </c>
      <c r="Q871" s="61"/>
    </row>
    <row r="872" spans="1:17" ht="13">
      <c r="A872" s="28">
        <v>250</v>
      </c>
      <c r="B872" s="28">
        <v>158404</v>
      </c>
      <c r="C872" s="129" t="s">
        <v>1183</v>
      </c>
      <c r="D872" s="128" t="s">
        <v>168</v>
      </c>
      <c r="E872" s="128" t="s">
        <v>146</v>
      </c>
      <c r="F872" s="29">
        <v>31982</v>
      </c>
      <c r="G872" s="56" t="str">
        <f t="shared" ca="1" si="123"/>
        <v>Sénior</v>
      </c>
      <c r="H872" s="28">
        <f t="shared" ca="1" si="124"/>
        <v>33</v>
      </c>
      <c r="J872" s="38" t="str">
        <f t="shared" si="118"/>
        <v>Catarina Barbosa</v>
      </c>
      <c r="K872" s="39">
        <f t="shared" si="119"/>
        <v>250</v>
      </c>
      <c r="L872" s="39">
        <f t="shared" si="120"/>
        <v>158404</v>
      </c>
      <c r="M872" s="40">
        <f t="shared" si="125"/>
        <v>31982</v>
      </c>
      <c r="N872" s="41" t="str">
        <f t="shared" ca="1" si="126"/>
        <v>Sénior</v>
      </c>
      <c r="O872" s="41" t="str">
        <f t="shared" si="121"/>
        <v>F</v>
      </c>
      <c r="P872" s="60" t="str">
        <f t="shared" si="122"/>
        <v>MTT</v>
      </c>
      <c r="Q872" s="61"/>
    </row>
    <row r="873" spans="1:17" ht="13">
      <c r="A873" s="28">
        <v>251</v>
      </c>
      <c r="B873" s="28">
        <v>150160</v>
      </c>
      <c r="C873" s="129" t="s">
        <v>915</v>
      </c>
      <c r="D873" s="128" t="s">
        <v>168</v>
      </c>
      <c r="E873" s="128" t="s">
        <v>146</v>
      </c>
      <c r="F873" s="29">
        <v>32957</v>
      </c>
      <c r="G873" s="56" t="str">
        <f t="shared" ca="1" si="123"/>
        <v>Sénior</v>
      </c>
      <c r="H873" s="28">
        <f t="shared" ca="1" si="124"/>
        <v>31</v>
      </c>
      <c r="J873" s="38" t="str">
        <f t="shared" si="118"/>
        <v>Rossana Lourenço</v>
      </c>
      <c r="K873" s="39">
        <f t="shared" si="119"/>
        <v>251</v>
      </c>
      <c r="L873" s="39">
        <f t="shared" si="120"/>
        <v>150160</v>
      </c>
      <c r="M873" s="40">
        <f t="shared" si="125"/>
        <v>32957</v>
      </c>
      <c r="N873" s="41" t="str">
        <f t="shared" ca="1" si="126"/>
        <v>Sénior</v>
      </c>
      <c r="O873" s="41" t="str">
        <f t="shared" si="121"/>
        <v>F</v>
      </c>
      <c r="P873" s="60" t="str">
        <f t="shared" si="122"/>
        <v>MTT</v>
      </c>
      <c r="Q873" s="61"/>
    </row>
    <row r="874" spans="1:17" ht="13">
      <c r="A874" s="28">
        <v>927</v>
      </c>
      <c r="B874" s="28">
        <v>139759</v>
      </c>
      <c r="C874" s="129" t="s">
        <v>918</v>
      </c>
      <c r="D874" s="128" t="s">
        <v>168</v>
      </c>
      <c r="E874" s="128" t="s">
        <v>145</v>
      </c>
      <c r="F874" s="29">
        <v>27314</v>
      </c>
      <c r="G874" s="56" t="str">
        <f t="shared" ca="1" si="123"/>
        <v>V 45</v>
      </c>
      <c r="H874" s="28">
        <f t="shared" ca="1" si="124"/>
        <v>46</v>
      </c>
      <c r="J874" s="38" t="str">
        <f t="shared" si="118"/>
        <v>Sidónio Nunes</v>
      </c>
      <c r="K874" s="39">
        <f t="shared" si="119"/>
        <v>927</v>
      </c>
      <c r="L874" s="39">
        <f t="shared" si="120"/>
        <v>139759</v>
      </c>
      <c r="M874" s="40">
        <f t="shared" si="125"/>
        <v>27314</v>
      </c>
      <c r="N874" s="41" t="str">
        <f t="shared" ca="1" si="126"/>
        <v>V 45</v>
      </c>
      <c r="O874" s="41" t="str">
        <f t="shared" si="121"/>
        <v>M</v>
      </c>
      <c r="P874" s="60" t="str">
        <f t="shared" si="122"/>
        <v>MTT</v>
      </c>
      <c r="Q874" s="61"/>
    </row>
    <row r="875" spans="1:17" ht="13">
      <c r="A875" s="28">
        <v>252</v>
      </c>
      <c r="B875" s="28">
        <v>149356</v>
      </c>
      <c r="C875" s="129" t="s">
        <v>777</v>
      </c>
      <c r="D875" s="128" t="s">
        <v>168</v>
      </c>
      <c r="E875" s="128" t="s">
        <v>146</v>
      </c>
      <c r="F875" s="29">
        <v>29884</v>
      </c>
      <c r="G875" s="56" t="str">
        <f t="shared" ca="1" si="123"/>
        <v>V 35</v>
      </c>
      <c r="H875" s="28">
        <f t="shared" ca="1" si="124"/>
        <v>39</v>
      </c>
      <c r="J875" s="38" t="str">
        <f t="shared" si="118"/>
        <v>Juliana Bettencourt</v>
      </c>
      <c r="K875" s="39">
        <f t="shared" si="119"/>
        <v>252</v>
      </c>
      <c r="L875" s="39">
        <f t="shared" si="120"/>
        <v>149356</v>
      </c>
      <c r="M875" s="40">
        <f t="shared" si="125"/>
        <v>29884</v>
      </c>
      <c r="N875" s="41" t="str">
        <f t="shared" ca="1" si="126"/>
        <v>V 35</v>
      </c>
      <c r="O875" s="41" t="str">
        <f t="shared" si="121"/>
        <v>F</v>
      </c>
      <c r="P875" s="60" t="str">
        <f t="shared" si="122"/>
        <v>MTT</v>
      </c>
      <c r="Q875" s="61"/>
    </row>
    <row r="876" spans="1:17" ht="13">
      <c r="A876" s="28">
        <v>254</v>
      </c>
      <c r="B876" s="28">
        <v>163200</v>
      </c>
      <c r="C876" s="129" t="s">
        <v>1468</v>
      </c>
      <c r="D876" s="128" t="s">
        <v>168</v>
      </c>
      <c r="E876" s="128" t="s">
        <v>146</v>
      </c>
      <c r="F876" s="29">
        <v>29227</v>
      </c>
      <c r="G876" s="56" t="str">
        <f t="shared" ca="1" si="123"/>
        <v>V 40</v>
      </c>
      <c r="H876" s="28">
        <f t="shared" ca="1" si="124"/>
        <v>41</v>
      </c>
      <c r="J876" s="38" t="str">
        <f t="shared" si="118"/>
        <v>Sónia Mendes</v>
      </c>
      <c r="K876" s="39">
        <f t="shared" si="119"/>
        <v>254</v>
      </c>
      <c r="L876" s="39">
        <f t="shared" si="120"/>
        <v>163200</v>
      </c>
      <c r="M876" s="40">
        <f t="shared" si="125"/>
        <v>29227</v>
      </c>
      <c r="N876" s="41" t="str">
        <f t="shared" ca="1" si="126"/>
        <v>V 40</v>
      </c>
      <c r="O876" s="41" t="str">
        <f t="shared" si="121"/>
        <v>F</v>
      </c>
      <c r="P876" s="60" t="str">
        <f t="shared" si="122"/>
        <v>MTT</v>
      </c>
      <c r="Q876" s="61"/>
    </row>
    <row r="877" spans="1:17" ht="13">
      <c r="A877" s="28">
        <v>932</v>
      </c>
      <c r="B877" s="28">
        <v>163203</v>
      </c>
      <c r="C877" s="129" t="s">
        <v>1469</v>
      </c>
      <c r="D877" s="128" t="s">
        <v>168</v>
      </c>
      <c r="E877" s="128" t="s">
        <v>145</v>
      </c>
      <c r="F877" s="29">
        <v>30474</v>
      </c>
      <c r="G877" s="56" t="str">
        <f t="shared" ca="1" si="123"/>
        <v>V 35</v>
      </c>
      <c r="H877" s="28">
        <f t="shared" ca="1" si="124"/>
        <v>37</v>
      </c>
      <c r="J877" s="38" t="str">
        <f t="shared" si="118"/>
        <v>Nuno Mendes</v>
      </c>
      <c r="K877" s="39">
        <f t="shared" si="119"/>
        <v>932</v>
      </c>
      <c r="L877" s="39">
        <f t="shared" si="120"/>
        <v>163203</v>
      </c>
      <c r="M877" s="40">
        <f t="shared" si="125"/>
        <v>30474</v>
      </c>
      <c r="N877" s="41" t="str">
        <f t="shared" ca="1" si="126"/>
        <v>V 35</v>
      </c>
      <c r="O877" s="41" t="str">
        <f t="shared" si="121"/>
        <v>M</v>
      </c>
      <c r="P877" s="60" t="str">
        <f t="shared" si="122"/>
        <v>MTT</v>
      </c>
      <c r="Q877" s="61"/>
    </row>
    <row r="878" spans="1:17" ht="13">
      <c r="A878" s="28">
        <v>935</v>
      </c>
      <c r="B878" s="28">
        <v>163206</v>
      </c>
      <c r="C878" s="129" t="s">
        <v>1470</v>
      </c>
      <c r="D878" s="128" t="s">
        <v>168</v>
      </c>
      <c r="E878" s="128" t="s">
        <v>145</v>
      </c>
      <c r="F878" s="29">
        <v>31572</v>
      </c>
      <c r="G878" s="56" t="str">
        <f t="shared" ca="1" si="123"/>
        <v>Sénior</v>
      </c>
      <c r="H878" s="28">
        <f t="shared" ca="1" si="124"/>
        <v>34</v>
      </c>
      <c r="J878" s="38" t="str">
        <f t="shared" si="118"/>
        <v>Magno A. Mendes</v>
      </c>
      <c r="K878" s="39">
        <f t="shared" si="119"/>
        <v>935</v>
      </c>
      <c r="L878" s="39">
        <f t="shared" si="120"/>
        <v>163206</v>
      </c>
      <c r="M878" s="40">
        <f t="shared" si="125"/>
        <v>31572</v>
      </c>
      <c r="N878" s="41" t="str">
        <f t="shared" ca="1" si="126"/>
        <v>Sénior</v>
      </c>
      <c r="O878" s="41" t="str">
        <f t="shared" si="121"/>
        <v>M</v>
      </c>
      <c r="P878" s="60" t="str">
        <f t="shared" si="122"/>
        <v>MTT</v>
      </c>
      <c r="Q878" s="61"/>
    </row>
    <row r="879" spans="1:17" ht="13">
      <c r="A879" s="28">
        <v>926</v>
      </c>
      <c r="B879" s="28">
        <v>126235</v>
      </c>
      <c r="C879" s="129" t="s">
        <v>188</v>
      </c>
      <c r="D879" s="128" t="s">
        <v>168</v>
      </c>
      <c r="E879" s="128" t="s">
        <v>145</v>
      </c>
      <c r="F879" s="29">
        <v>25832</v>
      </c>
      <c r="G879" s="56" t="str">
        <f t="shared" ca="1" si="123"/>
        <v>V 50</v>
      </c>
      <c r="H879" s="28">
        <f t="shared" ca="1" si="124"/>
        <v>50</v>
      </c>
      <c r="J879" s="38" t="str">
        <f t="shared" si="118"/>
        <v>Carlos Moço</v>
      </c>
      <c r="K879" s="39">
        <f t="shared" si="119"/>
        <v>926</v>
      </c>
      <c r="L879" s="39">
        <f t="shared" si="120"/>
        <v>126235</v>
      </c>
      <c r="M879" s="40">
        <f t="shared" si="125"/>
        <v>25832</v>
      </c>
      <c r="N879" s="41" t="str">
        <f t="shared" ca="1" si="126"/>
        <v>V 50</v>
      </c>
      <c r="O879" s="41" t="str">
        <f t="shared" si="121"/>
        <v>M</v>
      </c>
      <c r="P879" s="60" t="str">
        <f t="shared" si="122"/>
        <v>MTT</v>
      </c>
      <c r="Q879" s="61"/>
    </row>
    <row r="880" spans="1:17" ht="13">
      <c r="A880" s="28">
        <v>934</v>
      </c>
      <c r="B880" s="28">
        <v>155259</v>
      </c>
      <c r="C880" s="129" t="s">
        <v>1004</v>
      </c>
      <c r="D880" s="128" t="s">
        <v>168</v>
      </c>
      <c r="E880" s="128" t="s">
        <v>145</v>
      </c>
      <c r="F880" s="29">
        <v>31734</v>
      </c>
      <c r="G880" s="56" t="str">
        <f t="shared" ca="1" si="123"/>
        <v>Sénior</v>
      </c>
      <c r="H880" s="28">
        <f t="shared" ca="1" si="124"/>
        <v>34</v>
      </c>
      <c r="J880" s="38" t="str">
        <f t="shared" si="118"/>
        <v>Edgar Silva</v>
      </c>
      <c r="K880" s="39">
        <f t="shared" si="119"/>
        <v>934</v>
      </c>
      <c r="L880" s="39">
        <f t="shared" si="120"/>
        <v>155259</v>
      </c>
      <c r="M880" s="40">
        <f t="shared" si="125"/>
        <v>31734</v>
      </c>
      <c r="N880" s="41" t="str">
        <f t="shared" ca="1" si="126"/>
        <v>Sénior</v>
      </c>
      <c r="O880" s="41" t="str">
        <f t="shared" si="121"/>
        <v>M</v>
      </c>
      <c r="P880" s="60" t="str">
        <f t="shared" si="122"/>
        <v>MTT</v>
      </c>
      <c r="Q880" s="61"/>
    </row>
    <row r="881" spans="1:17" ht="13">
      <c r="A881" s="28">
        <v>933</v>
      </c>
      <c r="B881" s="28">
        <v>131790</v>
      </c>
      <c r="C881" s="129" t="s">
        <v>1185</v>
      </c>
      <c r="D881" s="128" t="s">
        <v>168</v>
      </c>
      <c r="E881" s="128" t="s">
        <v>145</v>
      </c>
      <c r="F881" s="29">
        <v>34131</v>
      </c>
      <c r="G881" s="56" t="str">
        <f t="shared" ca="1" si="123"/>
        <v>Sénior</v>
      </c>
      <c r="H881" s="28">
        <f t="shared" ca="1" si="124"/>
        <v>27</v>
      </c>
      <c r="J881" s="38" t="str">
        <f t="shared" si="118"/>
        <v>J. Nuno Pereira</v>
      </c>
      <c r="K881" s="39">
        <f t="shared" si="119"/>
        <v>933</v>
      </c>
      <c r="L881" s="39">
        <f t="shared" si="120"/>
        <v>131790</v>
      </c>
      <c r="M881" s="40">
        <f t="shared" si="125"/>
        <v>34131</v>
      </c>
      <c r="N881" s="41" t="str">
        <f t="shared" ca="1" si="126"/>
        <v>Sénior</v>
      </c>
      <c r="O881" s="41" t="str">
        <f t="shared" si="121"/>
        <v>M</v>
      </c>
      <c r="P881" s="60" t="str">
        <f t="shared" si="122"/>
        <v>MTT</v>
      </c>
      <c r="Q881" s="61"/>
    </row>
    <row r="882" spans="1:17" ht="13">
      <c r="A882" s="28">
        <v>1489</v>
      </c>
      <c r="B882" s="28">
        <v>161298</v>
      </c>
      <c r="C882" s="129" t="s">
        <v>1352</v>
      </c>
      <c r="D882" s="128" t="s">
        <v>97</v>
      </c>
      <c r="E882" s="128" t="s">
        <v>145</v>
      </c>
      <c r="F882" s="29">
        <v>31790</v>
      </c>
      <c r="G882" s="56" t="str">
        <f t="shared" ca="1" si="123"/>
        <v>Sénior</v>
      </c>
      <c r="H882" s="28">
        <f t="shared" ca="1" si="124"/>
        <v>34</v>
      </c>
      <c r="J882" s="38" t="str">
        <f t="shared" si="118"/>
        <v>Mauro Figueira</v>
      </c>
      <c r="K882" s="39">
        <f t="shared" si="119"/>
        <v>1489</v>
      </c>
      <c r="L882" s="39">
        <f t="shared" si="120"/>
        <v>161298</v>
      </c>
      <c r="M882" s="40">
        <f t="shared" si="125"/>
        <v>31790</v>
      </c>
      <c r="N882" s="41" t="str">
        <f t="shared" ca="1" si="126"/>
        <v>Sénior</v>
      </c>
      <c r="O882" s="41" t="str">
        <f t="shared" si="121"/>
        <v>M</v>
      </c>
      <c r="P882" s="60" t="str">
        <f t="shared" si="122"/>
        <v>ADRAP</v>
      </c>
      <c r="Q882" s="61"/>
    </row>
    <row r="883" spans="1:17" ht="13">
      <c r="A883" s="28">
        <v>1335</v>
      </c>
      <c r="B883" s="28">
        <v>126134</v>
      </c>
      <c r="C883" s="129" t="s">
        <v>196</v>
      </c>
      <c r="D883" s="128" t="s">
        <v>143</v>
      </c>
      <c r="E883" s="128" t="s">
        <v>145</v>
      </c>
      <c r="F883" s="29">
        <v>21045</v>
      </c>
      <c r="G883" s="56" t="str">
        <f t="shared" ca="1" si="123"/>
        <v>V 60</v>
      </c>
      <c r="H883" s="28">
        <f t="shared" ca="1" si="124"/>
        <v>63</v>
      </c>
      <c r="J883" s="38" t="str">
        <f t="shared" si="118"/>
        <v>João Abel Melim</v>
      </c>
      <c r="K883" s="39">
        <f t="shared" si="119"/>
        <v>1335</v>
      </c>
      <c r="L883" s="39">
        <f t="shared" si="120"/>
        <v>126134</v>
      </c>
      <c r="M883" s="40">
        <f t="shared" si="125"/>
        <v>21045</v>
      </c>
      <c r="N883" s="41" t="str">
        <f t="shared" ca="1" si="126"/>
        <v>V 60</v>
      </c>
      <c r="O883" s="41" t="str">
        <f t="shared" si="121"/>
        <v>M</v>
      </c>
      <c r="P883" s="60" t="str">
        <f t="shared" si="122"/>
        <v>CAFH</v>
      </c>
      <c r="Q883" s="61"/>
    </row>
    <row r="884" spans="1:17" ht="13">
      <c r="A884" s="28">
        <v>1357</v>
      </c>
      <c r="B884" s="28">
        <v>130898</v>
      </c>
      <c r="C884" s="129" t="s">
        <v>254</v>
      </c>
      <c r="D884" s="128" t="s">
        <v>143</v>
      </c>
      <c r="E884" s="128" t="s">
        <v>145</v>
      </c>
      <c r="F884" s="29">
        <v>34281</v>
      </c>
      <c r="G884" s="56" t="str">
        <f t="shared" ca="1" si="123"/>
        <v>Sénior</v>
      </c>
      <c r="H884" s="28">
        <f t="shared" ca="1" si="124"/>
        <v>27</v>
      </c>
      <c r="J884" s="38" t="str">
        <f t="shared" si="118"/>
        <v>Cláudio Prioste</v>
      </c>
      <c r="K884" s="39">
        <f t="shared" si="119"/>
        <v>1357</v>
      </c>
      <c r="L884" s="39">
        <f t="shared" si="120"/>
        <v>130898</v>
      </c>
      <c r="M884" s="40">
        <f t="shared" si="125"/>
        <v>34281</v>
      </c>
      <c r="N884" s="41" t="str">
        <f t="shared" ca="1" si="126"/>
        <v>Sénior</v>
      </c>
      <c r="O884" s="41" t="str">
        <f t="shared" si="121"/>
        <v>M</v>
      </c>
      <c r="P884" s="60" t="str">
        <f t="shared" si="122"/>
        <v>CAFH</v>
      </c>
      <c r="Q884" s="61"/>
    </row>
    <row r="885" spans="1:17" ht="13">
      <c r="A885" s="28">
        <v>1352</v>
      </c>
      <c r="B885" s="28">
        <v>130908</v>
      </c>
      <c r="C885" s="129" t="s">
        <v>646</v>
      </c>
      <c r="D885" s="128" t="s">
        <v>143</v>
      </c>
      <c r="E885" s="128" t="s">
        <v>145</v>
      </c>
      <c r="F885" s="29">
        <v>30698</v>
      </c>
      <c r="G885" s="56" t="str">
        <f t="shared" ca="1" si="123"/>
        <v>V 35</v>
      </c>
      <c r="H885" s="28">
        <f t="shared" ca="1" si="124"/>
        <v>37</v>
      </c>
      <c r="J885" s="38" t="str">
        <f t="shared" si="118"/>
        <v>Carlos E. Freitas</v>
      </c>
      <c r="K885" s="39">
        <f t="shared" si="119"/>
        <v>1352</v>
      </c>
      <c r="L885" s="39">
        <f t="shared" si="120"/>
        <v>130908</v>
      </c>
      <c r="M885" s="40">
        <f t="shared" si="125"/>
        <v>30698</v>
      </c>
      <c r="N885" s="41" t="str">
        <f t="shared" ca="1" si="126"/>
        <v>V 35</v>
      </c>
      <c r="O885" s="41" t="str">
        <f t="shared" si="121"/>
        <v>M</v>
      </c>
      <c r="P885" s="60" t="str">
        <f t="shared" si="122"/>
        <v>CAFH</v>
      </c>
      <c r="Q885" s="61"/>
    </row>
    <row r="886" spans="1:17" ht="13">
      <c r="A886" s="28">
        <v>1340</v>
      </c>
      <c r="B886" s="28">
        <v>126622</v>
      </c>
      <c r="C886" s="129" t="s">
        <v>190</v>
      </c>
      <c r="D886" s="128" t="s">
        <v>143</v>
      </c>
      <c r="E886" s="128" t="s">
        <v>145</v>
      </c>
      <c r="F886" s="29">
        <v>27609</v>
      </c>
      <c r="G886" s="56" t="str">
        <f t="shared" ca="1" si="123"/>
        <v>V 45</v>
      </c>
      <c r="H886" s="28">
        <f t="shared" ca="1" si="124"/>
        <v>45</v>
      </c>
      <c r="J886" s="38" t="str">
        <f t="shared" si="118"/>
        <v>Duarte Câmara</v>
      </c>
      <c r="K886" s="39">
        <f t="shared" si="119"/>
        <v>1340</v>
      </c>
      <c r="L886" s="39">
        <f t="shared" si="120"/>
        <v>126622</v>
      </c>
      <c r="M886" s="40">
        <f t="shared" si="125"/>
        <v>27609</v>
      </c>
      <c r="N886" s="41" t="str">
        <f t="shared" ca="1" si="126"/>
        <v>V 45</v>
      </c>
      <c r="O886" s="41" t="str">
        <f t="shared" si="121"/>
        <v>M</v>
      </c>
      <c r="P886" s="60" t="str">
        <f t="shared" si="122"/>
        <v>CAFH</v>
      </c>
      <c r="Q886" s="61"/>
    </row>
    <row r="887" spans="1:17" ht="13">
      <c r="A887" s="28">
        <v>174</v>
      </c>
      <c r="B887" s="28">
        <v>155754</v>
      </c>
      <c r="C887" s="129" t="s">
        <v>1061</v>
      </c>
      <c r="D887" s="128" t="s">
        <v>150</v>
      </c>
      <c r="E887" s="128" t="s">
        <v>146</v>
      </c>
      <c r="F887" s="29">
        <v>26648</v>
      </c>
      <c r="G887" s="56" t="str">
        <f t="shared" ca="1" si="123"/>
        <v>V 45</v>
      </c>
      <c r="H887" s="28">
        <f t="shared" ca="1" si="124"/>
        <v>48</v>
      </c>
      <c r="J887" s="38" t="str">
        <f t="shared" si="118"/>
        <v>Ana Brazão</v>
      </c>
      <c r="K887" s="39">
        <f t="shared" si="119"/>
        <v>174</v>
      </c>
      <c r="L887" s="39">
        <f t="shared" si="120"/>
        <v>155754</v>
      </c>
      <c r="M887" s="40">
        <f t="shared" si="125"/>
        <v>26648</v>
      </c>
      <c r="N887" s="41" t="str">
        <f t="shared" ca="1" si="126"/>
        <v>V 45</v>
      </c>
      <c r="O887" s="41" t="str">
        <f t="shared" si="121"/>
        <v>F</v>
      </c>
      <c r="P887" s="60" t="str">
        <f t="shared" si="122"/>
        <v>CMOF</v>
      </c>
      <c r="Q887" s="61"/>
    </row>
    <row r="888" spans="1:17" ht="13">
      <c r="A888" s="28">
        <v>1113</v>
      </c>
      <c r="B888" s="28">
        <v>148574</v>
      </c>
      <c r="C888" s="129" t="s">
        <v>1287</v>
      </c>
      <c r="D888" s="128" t="s">
        <v>150</v>
      </c>
      <c r="E888" s="128" t="s">
        <v>145</v>
      </c>
      <c r="F888" s="29">
        <v>28808</v>
      </c>
      <c r="G888" s="56" t="str">
        <f t="shared" ca="1" si="123"/>
        <v>V 40</v>
      </c>
      <c r="H888" s="28">
        <f t="shared" ca="1" si="124"/>
        <v>42</v>
      </c>
      <c r="J888" s="38" t="str">
        <f t="shared" si="118"/>
        <v>Luís de Sousa</v>
      </c>
      <c r="K888" s="39">
        <f t="shared" si="119"/>
        <v>1113</v>
      </c>
      <c r="L888" s="39">
        <f t="shared" si="120"/>
        <v>148574</v>
      </c>
      <c r="M888" s="40">
        <f t="shared" si="125"/>
        <v>28808</v>
      </c>
      <c r="N888" s="41" t="str">
        <f t="shared" ca="1" si="126"/>
        <v>V 40</v>
      </c>
      <c r="O888" s="41" t="str">
        <f t="shared" si="121"/>
        <v>M</v>
      </c>
      <c r="P888" s="60" t="str">
        <f t="shared" si="122"/>
        <v>CMOF</v>
      </c>
      <c r="Q888" s="61"/>
    </row>
    <row r="889" spans="1:17" ht="13">
      <c r="A889" s="28">
        <v>1089</v>
      </c>
      <c r="B889" s="28">
        <v>133512</v>
      </c>
      <c r="C889" s="129" t="s">
        <v>261</v>
      </c>
      <c r="D889" s="128" t="s">
        <v>150</v>
      </c>
      <c r="E889" s="128" t="s">
        <v>145</v>
      </c>
      <c r="F889" s="29">
        <v>20435</v>
      </c>
      <c r="G889" s="56" t="str">
        <f t="shared" ca="1" si="123"/>
        <v>V 65</v>
      </c>
      <c r="H889" s="28">
        <f t="shared" ca="1" si="124"/>
        <v>65</v>
      </c>
      <c r="J889" s="38" t="str">
        <f t="shared" si="118"/>
        <v>Justino Nóbrega</v>
      </c>
      <c r="K889" s="39">
        <f t="shared" si="119"/>
        <v>1089</v>
      </c>
      <c r="L889" s="39">
        <f t="shared" si="120"/>
        <v>133512</v>
      </c>
      <c r="M889" s="40">
        <f t="shared" si="125"/>
        <v>20435</v>
      </c>
      <c r="N889" s="41" t="str">
        <f t="shared" ca="1" si="126"/>
        <v>V 65</v>
      </c>
      <c r="O889" s="41" t="str">
        <f t="shared" si="121"/>
        <v>M</v>
      </c>
      <c r="P889" s="60" t="str">
        <f t="shared" si="122"/>
        <v>CMOF</v>
      </c>
      <c r="Q889" s="61"/>
    </row>
    <row r="890" spans="1:17" ht="13">
      <c r="A890" s="28">
        <v>1112</v>
      </c>
      <c r="B890" s="28">
        <v>126103</v>
      </c>
      <c r="C890" s="129" t="s">
        <v>540</v>
      </c>
      <c r="D890" s="128" t="s">
        <v>150</v>
      </c>
      <c r="E890" s="128" t="s">
        <v>145</v>
      </c>
      <c r="F890" s="29">
        <v>28473</v>
      </c>
      <c r="G890" s="56" t="str">
        <f t="shared" ca="1" si="123"/>
        <v>V 40</v>
      </c>
      <c r="H890" s="28">
        <f t="shared" ca="1" si="124"/>
        <v>43</v>
      </c>
      <c r="J890" s="38" t="str">
        <f t="shared" si="118"/>
        <v>Marco Caires</v>
      </c>
      <c r="K890" s="39">
        <f t="shared" si="119"/>
        <v>1112</v>
      </c>
      <c r="L890" s="39">
        <f t="shared" si="120"/>
        <v>126103</v>
      </c>
      <c r="M890" s="40">
        <f t="shared" si="125"/>
        <v>28473</v>
      </c>
      <c r="N890" s="41" t="str">
        <f t="shared" ca="1" si="126"/>
        <v>V 40</v>
      </c>
      <c r="O890" s="41" t="str">
        <f t="shared" si="121"/>
        <v>M</v>
      </c>
      <c r="P890" s="60" t="str">
        <f t="shared" si="122"/>
        <v>CMOF</v>
      </c>
      <c r="Q890" s="61"/>
    </row>
    <row r="891" spans="1:17" ht="13">
      <c r="A891" s="28">
        <v>167</v>
      </c>
      <c r="B891" s="28">
        <v>130521</v>
      </c>
      <c r="C891" s="129" t="s">
        <v>605</v>
      </c>
      <c r="D891" s="128" t="s">
        <v>150</v>
      </c>
      <c r="E891" s="128" t="s">
        <v>146</v>
      </c>
      <c r="F891" s="29">
        <v>28868</v>
      </c>
      <c r="G891" s="56" t="str">
        <f t="shared" ca="1" si="123"/>
        <v>V 40</v>
      </c>
      <c r="H891" s="28">
        <f t="shared" ca="1" si="124"/>
        <v>42</v>
      </c>
      <c r="J891" s="38" t="str">
        <f t="shared" si="118"/>
        <v>Vanessa Caires</v>
      </c>
      <c r="K891" s="39">
        <f t="shared" si="119"/>
        <v>167</v>
      </c>
      <c r="L891" s="39">
        <f t="shared" si="120"/>
        <v>130521</v>
      </c>
      <c r="M891" s="40">
        <f t="shared" si="125"/>
        <v>28868</v>
      </c>
      <c r="N891" s="41" t="str">
        <f t="shared" ca="1" si="126"/>
        <v>V 40</v>
      </c>
      <c r="O891" s="41" t="str">
        <f t="shared" si="121"/>
        <v>F</v>
      </c>
      <c r="P891" s="60" t="str">
        <f t="shared" si="122"/>
        <v>CMOF</v>
      </c>
      <c r="Q891" s="61"/>
    </row>
    <row r="892" spans="1:17" ht="13">
      <c r="A892" s="28">
        <v>1126</v>
      </c>
      <c r="B892" s="28">
        <v>159208</v>
      </c>
      <c r="C892" s="129" t="s">
        <v>1179</v>
      </c>
      <c r="D892" s="128" t="s">
        <v>150</v>
      </c>
      <c r="E892" s="128" t="s">
        <v>145</v>
      </c>
      <c r="F892" s="29">
        <v>30089</v>
      </c>
      <c r="G892" s="56" t="str">
        <f t="shared" ca="1" si="123"/>
        <v>V 35</v>
      </c>
      <c r="H892" s="28">
        <f t="shared" ca="1" si="124"/>
        <v>38</v>
      </c>
      <c r="J892" s="38" t="str">
        <f t="shared" si="118"/>
        <v>João Basílio</v>
      </c>
      <c r="K892" s="39">
        <f t="shared" si="119"/>
        <v>1126</v>
      </c>
      <c r="L892" s="39">
        <f t="shared" si="120"/>
        <v>159208</v>
      </c>
      <c r="M892" s="40">
        <f t="shared" si="125"/>
        <v>30089</v>
      </c>
      <c r="N892" s="41" t="str">
        <f t="shared" ca="1" si="126"/>
        <v>V 35</v>
      </c>
      <c r="O892" s="41" t="str">
        <f t="shared" si="121"/>
        <v>M</v>
      </c>
      <c r="P892" s="60" t="str">
        <f t="shared" si="122"/>
        <v>CMOF</v>
      </c>
      <c r="Q892" s="61"/>
    </row>
    <row r="893" spans="1:17" ht="13">
      <c r="A893" s="28">
        <v>1111</v>
      </c>
      <c r="B893" s="28">
        <v>142136</v>
      </c>
      <c r="C893" s="129" t="s">
        <v>900</v>
      </c>
      <c r="D893" s="128" t="s">
        <v>150</v>
      </c>
      <c r="E893" s="128" t="s">
        <v>145</v>
      </c>
      <c r="F893" s="29">
        <v>28875</v>
      </c>
      <c r="G893" s="56" t="str">
        <f t="shared" ca="1" si="123"/>
        <v>V 40</v>
      </c>
      <c r="H893" s="28">
        <f t="shared" ca="1" si="124"/>
        <v>42</v>
      </c>
      <c r="J893" s="38" t="str">
        <f t="shared" si="118"/>
        <v>Belchior de Sousa</v>
      </c>
      <c r="K893" s="39">
        <f t="shared" si="119"/>
        <v>1111</v>
      </c>
      <c r="L893" s="39">
        <f t="shared" si="120"/>
        <v>142136</v>
      </c>
      <c r="M893" s="40">
        <f t="shared" si="125"/>
        <v>28875</v>
      </c>
      <c r="N893" s="41" t="str">
        <f t="shared" ca="1" si="126"/>
        <v>V 40</v>
      </c>
      <c r="O893" s="41" t="str">
        <f t="shared" si="121"/>
        <v>M</v>
      </c>
      <c r="P893" s="60" t="str">
        <f t="shared" si="122"/>
        <v>CMOF</v>
      </c>
      <c r="Q893" s="61"/>
    </row>
    <row r="894" spans="1:17" ht="13">
      <c r="A894" s="28">
        <v>1100</v>
      </c>
      <c r="B894" s="28">
        <v>134918</v>
      </c>
      <c r="C894" s="129" t="s">
        <v>703</v>
      </c>
      <c r="D894" s="128" t="s">
        <v>150</v>
      </c>
      <c r="E894" s="128" t="s">
        <v>145</v>
      </c>
      <c r="F894" s="29">
        <v>27167</v>
      </c>
      <c r="G894" s="56" t="str">
        <f t="shared" ca="1" si="123"/>
        <v>V 45</v>
      </c>
      <c r="H894" s="28">
        <f t="shared" ca="1" si="124"/>
        <v>46</v>
      </c>
      <c r="J894" s="38" t="str">
        <f t="shared" si="118"/>
        <v>Daniel Borges</v>
      </c>
      <c r="K894" s="39">
        <f t="shared" si="119"/>
        <v>1100</v>
      </c>
      <c r="L894" s="39">
        <f t="shared" si="120"/>
        <v>134918</v>
      </c>
      <c r="M894" s="40">
        <f t="shared" si="125"/>
        <v>27167</v>
      </c>
      <c r="N894" s="41" t="str">
        <f t="shared" ca="1" si="126"/>
        <v>V 45</v>
      </c>
      <c r="O894" s="41" t="str">
        <f t="shared" si="121"/>
        <v>M</v>
      </c>
      <c r="P894" s="60" t="str">
        <f t="shared" si="122"/>
        <v>CMOF</v>
      </c>
      <c r="Q894" s="61"/>
    </row>
    <row r="895" spans="1:17" ht="13">
      <c r="A895" s="28">
        <v>161</v>
      </c>
      <c r="B895" s="28">
        <v>146857</v>
      </c>
      <c r="C895" s="129" t="s">
        <v>606</v>
      </c>
      <c r="D895" s="128" t="s">
        <v>150</v>
      </c>
      <c r="E895" s="128" t="s">
        <v>146</v>
      </c>
      <c r="F895" s="29">
        <v>34220</v>
      </c>
      <c r="G895" s="56" t="str">
        <f t="shared" ca="1" si="123"/>
        <v>Sénior</v>
      </c>
      <c r="H895" s="28">
        <f t="shared" ca="1" si="124"/>
        <v>27</v>
      </c>
      <c r="J895" s="38" t="str">
        <f t="shared" si="118"/>
        <v>Regina Baptista</v>
      </c>
      <c r="K895" s="39">
        <f t="shared" si="119"/>
        <v>161</v>
      </c>
      <c r="L895" s="39">
        <f t="shared" si="120"/>
        <v>146857</v>
      </c>
      <c r="M895" s="40">
        <f t="shared" si="125"/>
        <v>34220</v>
      </c>
      <c r="N895" s="41" t="str">
        <f t="shared" ca="1" si="126"/>
        <v>Sénior</v>
      </c>
      <c r="O895" s="41" t="str">
        <f t="shared" si="121"/>
        <v>F</v>
      </c>
      <c r="P895" s="60" t="str">
        <f t="shared" si="122"/>
        <v>CMOF</v>
      </c>
      <c r="Q895" s="61"/>
    </row>
    <row r="896" spans="1:17" ht="13">
      <c r="A896" s="28">
        <v>1125</v>
      </c>
      <c r="B896" s="28">
        <v>149505</v>
      </c>
      <c r="C896" s="129" t="s">
        <v>1175</v>
      </c>
      <c r="D896" s="128" t="s">
        <v>150</v>
      </c>
      <c r="E896" s="128" t="s">
        <v>145</v>
      </c>
      <c r="F896" s="29">
        <v>30488</v>
      </c>
      <c r="G896" s="56" t="str">
        <f t="shared" ca="1" si="123"/>
        <v>V 35</v>
      </c>
      <c r="H896" s="28">
        <f t="shared" ca="1" si="124"/>
        <v>37</v>
      </c>
      <c r="J896" s="38" t="str">
        <f t="shared" si="118"/>
        <v>Luís M. Caldeira</v>
      </c>
      <c r="K896" s="39">
        <f t="shared" si="119"/>
        <v>1125</v>
      </c>
      <c r="L896" s="39">
        <f t="shared" si="120"/>
        <v>149505</v>
      </c>
      <c r="M896" s="40">
        <f t="shared" si="125"/>
        <v>30488</v>
      </c>
      <c r="N896" s="41" t="str">
        <f t="shared" ca="1" si="126"/>
        <v>V 35</v>
      </c>
      <c r="O896" s="41" t="str">
        <f t="shared" si="121"/>
        <v>M</v>
      </c>
      <c r="P896" s="60" t="str">
        <f t="shared" si="122"/>
        <v>CMOF</v>
      </c>
      <c r="Q896" s="61"/>
    </row>
    <row r="897" spans="1:17" ht="13">
      <c r="A897" s="28">
        <v>1722</v>
      </c>
      <c r="B897" s="28">
        <v>140029</v>
      </c>
      <c r="C897" s="129" t="s">
        <v>1472</v>
      </c>
      <c r="D897" s="128" t="s">
        <v>150</v>
      </c>
      <c r="E897" s="128" t="s">
        <v>145</v>
      </c>
      <c r="F897" s="29">
        <v>37748</v>
      </c>
      <c r="G897" s="56" t="str">
        <f t="shared" ca="1" si="123"/>
        <v>Júnior</v>
      </c>
      <c r="H897" s="28">
        <f t="shared" ca="1" si="124"/>
        <v>17</v>
      </c>
      <c r="J897" s="38" t="str">
        <f t="shared" si="118"/>
        <v>João Pedro Olim</v>
      </c>
      <c r="K897" s="39">
        <f t="shared" si="119"/>
        <v>1722</v>
      </c>
      <c r="L897" s="39">
        <f t="shared" si="120"/>
        <v>140029</v>
      </c>
      <c r="M897" s="40">
        <f t="shared" si="125"/>
        <v>37748</v>
      </c>
      <c r="N897" s="41" t="str">
        <f t="shared" ca="1" si="126"/>
        <v>Júnior</v>
      </c>
      <c r="O897" s="41" t="str">
        <f t="shared" si="121"/>
        <v>M</v>
      </c>
      <c r="P897" s="60" t="str">
        <f t="shared" si="122"/>
        <v>CMOF</v>
      </c>
      <c r="Q897" s="61"/>
    </row>
    <row r="898" spans="1:17" ht="13">
      <c r="A898" s="28">
        <v>1110</v>
      </c>
      <c r="B898" s="28">
        <v>140194</v>
      </c>
      <c r="C898" s="129" t="s">
        <v>1292</v>
      </c>
      <c r="D898" s="128" t="s">
        <v>150</v>
      </c>
      <c r="E898" s="128" t="s">
        <v>145</v>
      </c>
      <c r="F898" s="29">
        <v>29240</v>
      </c>
      <c r="G898" s="56" t="str">
        <f t="shared" ca="1" si="123"/>
        <v>V 40</v>
      </c>
      <c r="H898" s="28">
        <f t="shared" ca="1" si="124"/>
        <v>41</v>
      </c>
      <c r="J898" s="38" t="str">
        <f t="shared" ref="J898:J961" si="127">C898</f>
        <v>Dennis Pereira</v>
      </c>
      <c r="K898" s="39">
        <f t="shared" ref="K898:K961" si="128">A898</f>
        <v>1110</v>
      </c>
      <c r="L898" s="39">
        <f t="shared" ref="L898:L961" si="129">B898</f>
        <v>140194</v>
      </c>
      <c r="M898" s="40">
        <f t="shared" si="125"/>
        <v>29240</v>
      </c>
      <c r="N898" s="41" t="str">
        <f t="shared" ca="1" si="126"/>
        <v>V 40</v>
      </c>
      <c r="O898" s="41" t="str">
        <f t="shared" ref="O898:O961" si="130">E898</f>
        <v>M</v>
      </c>
      <c r="P898" s="60" t="str">
        <f t="shared" ref="P898:P961" si="131">D898</f>
        <v>CMOF</v>
      </c>
      <c r="Q898" s="61"/>
    </row>
    <row r="899" spans="1:17" ht="13">
      <c r="A899" s="28">
        <v>1109</v>
      </c>
      <c r="B899" s="28">
        <v>126526</v>
      </c>
      <c r="C899" s="129" t="s">
        <v>878</v>
      </c>
      <c r="D899" s="128" t="s">
        <v>150</v>
      </c>
      <c r="E899" s="128" t="s">
        <v>145</v>
      </c>
      <c r="F899" s="29">
        <v>28249</v>
      </c>
      <c r="G899" s="5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B",IF(YEAR(TODAY())-YEAR(F899)&lt;14,"Infantil",IF(YEAR(TODAY())-YEAR(F899)&lt;16,"Iniciado",IF(YEAR(TODAY())-YEAR(F899)&lt;18,"Juvenil",IF(YEAR(TODAY())-YEAR(F899)&lt;20,"Júnior",IF(YEAR(TODAY())-YEAR(F899)&lt;23,"sub 23",IF(ROUNDDOWN(INT(TODAY()-F899)/365.25,0)&lt;35,"Sénior",IF(ROUNDDOWN(INT(TODAY()-F899)/365.25,0)&lt;40,"V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65",IF(ROUNDDOWN(INT(TODAY()-F899)/365.25,0)&lt;75,"V 70",IF(ROUNDDOWN(INT(TODAY()-F899)/365.25,0)&lt;80,"V 75",IF(ROUNDDOWN(INT(TODAY()-F899)/365.25,0)&lt;85,"V 80",IF(ROUNDDOWN(INT(TODAY()-F899)/365.25,0)&lt;90,"V 85",IF(ROUNDDOWN(INT(TODAY()-F899)/365.25,0)&lt;95,"V 90",IF(ROUNDDOWN(INT(TODAY()-F899)/365.25,0)&lt;100,"V 95",IF(ROUNDDOWN(INT(TODAY()-F899)/365.25,0)&gt;=100,"V 100",""))))))))))))))))))))))),"")</f>
        <v>V 40</v>
      </c>
      <c r="H899" s="28">
        <f t="shared" ref="H899:H962" ca="1" si="133">IFERROR(IF($A899&gt;0,ROUNDDOWN(INT(TODAY()-F899)/365.25,0),""),"")</f>
        <v>43</v>
      </c>
      <c r="J899" s="38" t="str">
        <f t="shared" si="127"/>
        <v>Paulo Anastácio</v>
      </c>
      <c r="K899" s="39">
        <f t="shared" si="128"/>
        <v>1109</v>
      </c>
      <c r="L899" s="39">
        <f t="shared" si="129"/>
        <v>126526</v>
      </c>
      <c r="M899" s="40">
        <f t="shared" ref="M899:M962" si="134">F899</f>
        <v>28249</v>
      </c>
      <c r="N899" s="41" t="str">
        <f t="shared" ref="N899:N962" ca="1" si="135">G899</f>
        <v>V 40</v>
      </c>
      <c r="O899" s="41" t="str">
        <f t="shared" si="130"/>
        <v>M</v>
      </c>
      <c r="P899" s="60" t="str">
        <f t="shared" si="131"/>
        <v>CMOF</v>
      </c>
      <c r="Q899" s="61"/>
    </row>
    <row r="900" spans="1:17" ht="13">
      <c r="A900" s="28">
        <v>168</v>
      </c>
      <c r="B900" s="28">
        <v>146466</v>
      </c>
      <c r="C900" s="129" t="s">
        <v>610</v>
      </c>
      <c r="D900" s="128" t="s">
        <v>150</v>
      </c>
      <c r="E900" s="128" t="s">
        <v>146</v>
      </c>
      <c r="F900" s="29">
        <v>29163</v>
      </c>
      <c r="G900" s="56" t="str">
        <f t="shared" ca="1" si="132"/>
        <v>V 40</v>
      </c>
      <c r="H900" s="28">
        <f t="shared" ca="1" si="133"/>
        <v>41</v>
      </c>
      <c r="J900" s="38" t="str">
        <f t="shared" si="127"/>
        <v>Carla Leite</v>
      </c>
      <c r="K900" s="39">
        <f t="shared" si="128"/>
        <v>168</v>
      </c>
      <c r="L900" s="39">
        <f t="shared" si="129"/>
        <v>146466</v>
      </c>
      <c r="M900" s="40">
        <f t="shared" si="134"/>
        <v>29163</v>
      </c>
      <c r="N900" s="41" t="str">
        <f t="shared" ca="1" si="135"/>
        <v>V 40</v>
      </c>
      <c r="O900" s="41" t="str">
        <f t="shared" si="130"/>
        <v>F</v>
      </c>
      <c r="P900" s="60" t="str">
        <f t="shared" si="131"/>
        <v>CMOF</v>
      </c>
      <c r="Q900" s="61"/>
    </row>
    <row r="901" spans="1:17" ht="13">
      <c r="A901" s="28">
        <v>176</v>
      </c>
      <c r="B901" s="28">
        <v>131890</v>
      </c>
      <c r="C901" s="129" t="s">
        <v>1285</v>
      </c>
      <c r="D901" s="128" t="s">
        <v>150</v>
      </c>
      <c r="E901" s="128" t="s">
        <v>146</v>
      </c>
      <c r="F901" s="29">
        <v>21190</v>
      </c>
      <c r="G901" s="56" t="str">
        <f t="shared" ca="1" si="132"/>
        <v>V 60</v>
      </c>
      <c r="H901" s="28">
        <f t="shared" ca="1" si="133"/>
        <v>63</v>
      </c>
      <c r="J901" s="38" t="str">
        <f t="shared" si="127"/>
        <v>Solange Ferraz</v>
      </c>
      <c r="K901" s="39">
        <f t="shared" si="128"/>
        <v>176</v>
      </c>
      <c r="L901" s="39">
        <f t="shared" si="129"/>
        <v>131890</v>
      </c>
      <c r="M901" s="40">
        <f t="shared" si="134"/>
        <v>21190</v>
      </c>
      <c r="N901" s="41" t="str">
        <f t="shared" ca="1" si="135"/>
        <v>V 60</v>
      </c>
      <c r="O901" s="41" t="str">
        <f t="shared" si="130"/>
        <v>F</v>
      </c>
      <c r="P901" s="60" t="str">
        <f t="shared" si="131"/>
        <v>CMOF</v>
      </c>
      <c r="Q901" s="61"/>
    </row>
    <row r="902" spans="1:17" ht="13">
      <c r="A902" s="28">
        <v>1124</v>
      </c>
      <c r="B902" s="28">
        <v>126087</v>
      </c>
      <c r="C902" s="129" t="s">
        <v>260</v>
      </c>
      <c r="D902" s="128" t="s">
        <v>150</v>
      </c>
      <c r="E902" s="128" t="s">
        <v>145</v>
      </c>
      <c r="F902" s="29">
        <v>30615</v>
      </c>
      <c r="G902" s="56" t="str">
        <f t="shared" ca="1" si="132"/>
        <v>V 35</v>
      </c>
      <c r="H902" s="28">
        <f t="shared" ca="1" si="133"/>
        <v>37</v>
      </c>
      <c r="J902" s="38" t="str">
        <f t="shared" si="127"/>
        <v>Dinarte Jesus</v>
      </c>
      <c r="K902" s="39">
        <f t="shared" si="128"/>
        <v>1124</v>
      </c>
      <c r="L902" s="39">
        <f t="shared" si="129"/>
        <v>126087</v>
      </c>
      <c r="M902" s="40">
        <f t="shared" si="134"/>
        <v>30615</v>
      </c>
      <c r="N902" s="41" t="str">
        <f t="shared" ca="1" si="135"/>
        <v>V 35</v>
      </c>
      <c r="O902" s="41" t="str">
        <f t="shared" si="130"/>
        <v>M</v>
      </c>
      <c r="P902" s="60" t="str">
        <f t="shared" si="131"/>
        <v>CMOF</v>
      </c>
      <c r="Q902" s="61"/>
    </row>
    <row r="903" spans="1:17" ht="13">
      <c r="A903" s="28">
        <v>1132</v>
      </c>
      <c r="B903" s="28">
        <v>149272</v>
      </c>
      <c r="C903" s="129" t="s">
        <v>1009</v>
      </c>
      <c r="D903" s="128" t="s">
        <v>150</v>
      </c>
      <c r="E903" s="128" t="s">
        <v>145</v>
      </c>
      <c r="F903" s="29">
        <v>33040</v>
      </c>
      <c r="G903" s="56" t="str">
        <f t="shared" ca="1" si="132"/>
        <v>Sénior</v>
      </c>
      <c r="H903" s="28">
        <f t="shared" ca="1" si="133"/>
        <v>30</v>
      </c>
      <c r="J903" s="38" t="str">
        <f t="shared" si="127"/>
        <v>João M. Faria</v>
      </c>
      <c r="K903" s="39">
        <f t="shared" si="128"/>
        <v>1132</v>
      </c>
      <c r="L903" s="39">
        <f t="shared" si="129"/>
        <v>149272</v>
      </c>
      <c r="M903" s="40">
        <f t="shared" si="134"/>
        <v>33040</v>
      </c>
      <c r="N903" s="41" t="str">
        <f t="shared" ca="1" si="135"/>
        <v>Sénior</v>
      </c>
      <c r="O903" s="41" t="str">
        <f t="shared" si="130"/>
        <v>M</v>
      </c>
      <c r="P903" s="60" t="str">
        <f t="shared" si="131"/>
        <v>CMOF</v>
      </c>
      <c r="Q903" s="61"/>
    </row>
    <row r="904" spans="1:17" ht="13">
      <c r="A904" s="28">
        <v>1123</v>
      </c>
      <c r="B904" s="28">
        <v>147544</v>
      </c>
      <c r="C904" s="129" t="s">
        <v>1473</v>
      </c>
      <c r="D904" s="128" t="s">
        <v>150</v>
      </c>
      <c r="E904" s="128" t="s">
        <v>145</v>
      </c>
      <c r="F904" s="29">
        <v>31032</v>
      </c>
      <c r="G904" s="56" t="str">
        <f t="shared" ca="1" si="132"/>
        <v>V 35</v>
      </c>
      <c r="H904" s="28">
        <f t="shared" ca="1" si="133"/>
        <v>36</v>
      </c>
      <c r="J904" s="38" t="str">
        <f t="shared" si="127"/>
        <v>Nuno Miguel Lopes</v>
      </c>
      <c r="K904" s="39">
        <f t="shared" si="128"/>
        <v>1123</v>
      </c>
      <c r="L904" s="39">
        <f t="shared" si="129"/>
        <v>147544</v>
      </c>
      <c r="M904" s="40">
        <f t="shared" si="134"/>
        <v>31032</v>
      </c>
      <c r="N904" s="41" t="str">
        <f t="shared" ca="1" si="135"/>
        <v>V 35</v>
      </c>
      <c r="O904" s="41" t="str">
        <f t="shared" si="130"/>
        <v>M</v>
      </c>
      <c r="P904" s="60" t="str">
        <f t="shared" si="131"/>
        <v>CMOF</v>
      </c>
      <c r="Q904" s="61"/>
    </row>
    <row r="905" spans="1:17" ht="13">
      <c r="A905" s="28">
        <v>1502</v>
      </c>
      <c r="B905" s="28">
        <v>139831</v>
      </c>
      <c r="C905" s="129" t="s">
        <v>477</v>
      </c>
      <c r="D905" s="128" t="s">
        <v>159</v>
      </c>
      <c r="E905" s="128" t="s">
        <v>145</v>
      </c>
      <c r="F905" s="29">
        <v>22189</v>
      </c>
      <c r="G905" s="56" t="str">
        <f t="shared" ca="1" si="132"/>
        <v>V 60</v>
      </c>
      <c r="H905" s="28">
        <f t="shared" ca="1" si="133"/>
        <v>60</v>
      </c>
      <c r="J905" s="38" t="str">
        <f t="shared" si="127"/>
        <v>Carlos Figueiredo</v>
      </c>
      <c r="K905" s="39">
        <f t="shared" si="128"/>
        <v>1502</v>
      </c>
      <c r="L905" s="39">
        <f t="shared" si="129"/>
        <v>139831</v>
      </c>
      <c r="M905" s="40">
        <f t="shared" si="134"/>
        <v>22189</v>
      </c>
      <c r="N905" s="41" t="str">
        <f t="shared" ca="1" si="135"/>
        <v>V 60</v>
      </c>
      <c r="O905" s="41" t="str">
        <f t="shared" si="130"/>
        <v>M</v>
      </c>
      <c r="P905" s="60" t="str">
        <f t="shared" si="131"/>
        <v>ADG</v>
      </c>
      <c r="Q905" s="61"/>
    </row>
    <row r="906" spans="1:17" ht="13">
      <c r="A906" s="28">
        <v>1507</v>
      </c>
      <c r="B906" s="28">
        <v>150120</v>
      </c>
      <c r="C906" s="129" t="s">
        <v>1033</v>
      </c>
      <c r="D906" s="128" t="s">
        <v>159</v>
      </c>
      <c r="E906" s="128" t="s">
        <v>145</v>
      </c>
      <c r="F906" s="29">
        <v>30856</v>
      </c>
      <c r="G906" s="56" t="str">
        <f t="shared" ca="1" si="132"/>
        <v>V 35</v>
      </c>
      <c r="H906" s="28">
        <f t="shared" ca="1" si="133"/>
        <v>36</v>
      </c>
      <c r="J906" s="38" t="str">
        <f t="shared" si="127"/>
        <v>Eduardo Luís Silva</v>
      </c>
      <c r="K906" s="39">
        <f t="shared" si="128"/>
        <v>1507</v>
      </c>
      <c r="L906" s="39">
        <f t="shared" si="129"/>
        <v>150120</v>
      </c>
      <c r="M906" s="40">
        <f t="shared" si="134"/>
        <v>30856</v>
      </c>
      <c r="N906" s="41" t="str">
        <f t="shared" ca="1" si="135"/>
        <v>V 35</v>
      </c>
      <c r="O906" s="41" t="str">
        <f t="shared" si="130"/>
        <v>M</v>
      </c>
      <c r="P906" s="60" t="str">
        <f t="shared" si="131"/>
        <v>ADG</v>
      </c>
      <c r="Q906" s="61"/>
    </row>
    <row r="907" spans="1:17" ht="13">
      <c r="A907" s="28">
        <v>1509</v>
      </c>
      <c r="B907" s="28">
        <v>139857</v>
      </c>
      <c r="C907" s="129" t="s">
        <v>478</v>
      </c>
      <c r="D907" s="128" t="s">
        <v>159</v>
      </c>
      <c r="E907" s="128" t="s">
        <v>145</v>
      </c>
      <c r="F907" s="29">
        <v>33188</v>
      </c>
      <c r="G907" s="56" t="str">
        <f t="shared" ca="1" si="132"/>
        <v>Sénior</v>
      </c>
      <c r="H907" s="28">
        <f t="shared" ca="1" si="133"/>
        <v>30</v>
      </c>
      <c r="J907" s="38" t="str">
        <f t="shared" si="127"/>
        <v>Guilherme Franco</v>
      </c>
      <c r="K907" s="39">
        <f t="shared" si="128"/>
        <v>1509</v>
      </c>
      <c r="L907" s="39">
        <f t="shared" si="129"/>
        <v>139857</v>
      </c>
      <c r="M907" s="40">
        <f t="shared" si="134"/>
        <v>33188</v>
      </c>
      <c r="N907" s="41" t="str">
        <f t="shared" ca="1" si="135"/>
        <v>Sénior</v>
      </c>
      <c r="O907" s="41" t="str">
        <f t="shared" si="130"/>
        <v>M</v>
      </c>
      <c r="P907" s="60" t="str">
        <f t="shared" si="131"/>
        <v>ADG</v>
      </c>
      <c r="Q907" s="61"/>
    </row>
    <row r="908" spans="1:17" ht="13">
      <c r="A908" s="28">
        <v>1503</v>
      </c>
      <c r="B908" s="28">
        <v>130264</v>
      </c>
      <c r="C908" s="129" t="s">
        <v>398</v>
      </c>
      <c r="D908" s="128" t="s">
        <v>159</v>
      </c>
      <c r="E908" s="128" t="s">
        <v>145</v>
      </c>
      <c r="F908" s="29">
        <v>23487</v>
      </c>
      <c r="G908" s="56" t="str">
        <f t="shared" ca="1" si="132"/>
        <v>V 55</v>
      </c>
      <c r="H908" s="28">
        <f t="shared" ca="1" si="133"/>
        <v>56</v>
      </c>
      <c r="J908" s="38" t="str">
        <f t="shared" si="127"/>
        <v>Manuel Franco</v>
      </c>
      <c r="K908" s="39">
        <f t="shared" si="128"/>
        <v>1503</v>
      </c>
      <c r="L908" s="39">
        <f t="shared" si="129"/>
        <v>130264</v>
      </c>
      <c r="M908" s="40">
        <f t="shared" si="134"/>
        <v>23487</v>
      </c>
      <c r="N908" s="41" t="str">
        <f t="shared" ca="1" si="135"/>
        <v>V 55</v>
      </c>
      <c r="O908" s="41" t="str">
        <f t="shared" si="130"/>
        <v>M</v>
      </c>
      <c r="P908" s="60" t="str">
        <f t="shared" si="131"/>
        <v>ADG</v>
      </c>
      <c r="Q908" s="61"/>
    </row>
    <row r="909" spans="1:17" ht="13">
      <c r="A909" s="28">
        <v>14</v>
      </c>
      <c r="B909" s="28">
        <v>142777</v>
      </c>
      <c r="C909" s="129" t="s">
        <v>557</v>
      </c>
      <c r="D909" s="128" t="s">
        <v>159</v>
      </c>
      <c r="E909" s="128" t="s">
        <v>146</v>
      </c>
      <c r="F909" s="29">
        <v>31546</v>
      </c>
      <c r="G909" s="56" t="str">
        <f t="shared" ca="1" si="132"/>
        <v>Sénior</v>
      </c>
      <c r="H909" s="28">
        <f t="shared" ca="1" si="133"/>
        <v>34</v>
      </c>
      <c r="J909" s="38" t="str">
        <f t="shared" si="127"/>
        <v>Sónia da Silva</v>
      </c>
      <c r="K909" s="39">
        <f t="shared" si="128"/>
        <v>14</v>
      </c>
      <c r="L909" s="39">
        <f t="shared" si="129"/>
        <v>142777</v>
      </c>
      <c r="M909" s="40">
        <f t="shared" si="134"/>
        <v>31546</v>
      </c>
      <c r="N909" s="41" t="str">
        <f t="shared" ca="1" si="135"/>
        <v>Sénior</v>
      </c>
      <c r="O909" s="41" t="str">
        <f t="shared" si="130"/>
        <v>F</v>
      </c>
      <c r="P909" s="60" t="str">
        <f t="shared" si="131"/>
        <v>ADG</v>
      </c>
      <c r="Q909" s="61"/>
    </row>
    <row r="910" spans="1:17" ht="13">
      <c r="A910" s="28">
        <v>19</v>
      </c>
      <c r="B910" s="28">
        <v>130461</v>
      </c>
      <c r="C910" s="129" t="s">
        <v>162</v>
      </c>
      <c r="D910" s="128" t="s">
        <v>159</v>
      </c>
      <c r="E910" s="128" t="s">
        <v>146</v>
      </c>
      <c r="F910" s="29">
        <v>24396</v>
      </c>
      <c r="G910" s="56" t="str">
        <f t="shared" ca="1" si="132"/>
        <v>V 50</v>
      </c>
      <c r="H910" s="28">
        <f t="shared" ca="1" si="133"/>
        <v>54</v>
      </c>
      <c r="J910" s="38" t="str">
        <f t="shared" si="127"/>
        <v>Anne Marchington</v>
      </c>
      <c r="K910" s="39">
        <f t="shared" si="128"/>
        <v>19</v>
      </c>
      <c r="L910" s="39">
        <f t="shared" si="129"/>
        <v>130461</v>
      </c>
      <c r="M910" s="40">
        <f t="shared" si="134"/>
        <v>24396</v>
      </c>
      <c r="N910" s="41" t="str">
        <f t="shared" ca="1" si="135"/>
        <v>V 50</v>
      </c>
      <c r="O910" s="41" t="str">
        <f t="shared" si="130"/>
        <v>F</v>
      </c>
      <c r="P910" s="60" t="str">
        <f t="shared" si="131"/>
        <v>ADG</v>
      </c>
      <c r="Q910" s="61"/>
    </row>
    <row r="911" spans="1:17" ht="13">
      <c r="A911" s="28">
        <v>1750</v>
      </c>
      <c r="B911" s="28">
        <v>153232</v>
      </c>
      <c r="C911" s="129" t="s">
        <v>847</v>
      </c>
      <c r="D911" s="128" t="s">
        <v>159</v>
      </c>
      <c r="E911" s="128" t="s">
        <v>145</v>
      </c>
      <c r="F911" s="29">
        <v>37319</v>
      </c>
      <c r="G911" s="56" t="str">
        <f t="shared" ca="1" si="132"/>
        <v>Júnior</v>
      </c>
      <c r="H911" s="28">
        <f t="shared" ca="1" si="133"/>
        <v>19</v>
      </c>
      <c r="J911" s="38" t="str">
        <f t="shared" si="127"/>
        <v>João Tomás Camacho</v>
      </c>
      <c r="K911" s="39">
        <f t="shared" si="128"/>
        <v>1750</v>
      </c>
      <c r="L911" s="39">
        <f t="shared" si="129"/>
        <v>153232</v>
      </c>
      <c r="M911" s="40">
        <f t="shared" si="134"/>
        <v>37319</v>
      </c>
      <c r="N911" s="41" t="str">
        <f t="shared" ca="1" si="135"/>
        <v>Júnior</v>
      </c>
      <c r="O911" s="41" t="str">
        <f t="shared" si="130"/>
        <v>M</v>
      </c>
      <c r="P911" s="60" t="str">
        <f t="shared" si="131"/>
        <v>ADG</v>
      </c>
      <c r="Q911" s="61"/>
    </row>
    <row r="912" spans="1:17" ht="13">
      <c r="A912" s="28">
        <v>1506</v>
      </c>
      <c r="B912" s="28">
        <v>152871</v>
      </c>
      <c r="C912" s="129" t="s">
        <v>849</v>
      </c>
      <c r="D912" s="128" t="s">
        <v>159</v>
      </c>
      <c r="E912" s="128" t="s">
        <v>145</v>
      </c>
      <c r="F912" s="29">
        <v>31367</v>
      </c>
      <c r="G912" s="56" t="str">
        <f t="shared" ca="1" si="132"/>
        <v>V 35</v>
      </c>
      <c r="H912" s="28">
        <f t="shared" ca="1" si="133"/>
        <v>35</v>
      </c>
      <c r="J912" s="38" t="str">
        <f t="shared" si="127"/>
        <v>Luís Figueira</v>
      </c>
      <c r="K912" s="39">
        <f t="shared" si="128"/>
        <v>1506</v>
      </c>
      <c r="L912" s="39">
        <f t="shared" si="129"/>
        <v>152871</v>
      </c>
      <c r="M912" s="40">
        <f t="shared" si="134"/>
        <v>31367</v>
      </c>
      <c r="N912" s="41" t="str">
        <f t="shared" ca="1" si="135"/>
        <v>V 35</v>
      </c>
      <c r="O912" s="41" t="str">
        <f t="shared" si="130"/>
        <v>M</v>
      </c>
      <c r="P912" s="60" t="str">
        <f t="shared" si="131"/>
        <v>ADG</v>
      </c>
      <c r="Q912" s="61"/>
    </row>
    <row r="913" spans="1:17" ht="13">
      <c r="A913" s="28">
        <v>1508</v>
      </c>
      <c r="B913" s="28">
        <v>152823</v>
      </c>
      <c r="C913" s="129" t="s">
        <v>848</v>
      </c>
      <c r="D913" s="128" t="s">
        <v>159</v>
      </c>
      <c r="E913" s="128" t="s">
        <v>145</v>
      </c>
      <c r="F913" s="29">
        <v>32377</v>
      </c>
      <c r="G913" s="56" t="str">
        <f t="shared" ca="1" si="132"/>
        <v>Sénior</v>
      </c>
      <c r="H913" s="28">
        <f t="shared" ca="1" si="133"/>
        <v>32</v>
      </c>
      <c r="J913" s="38" t="str">
        <f t="shared" si="127"/>
        <v>Carlos J. Moreira</v>
      </c>
      <c r="K913" s="39">
        <f t="shared" si="128"/>
        <v>1508</v>
      </c>
      <c r="L913" s="39">
        <f t="shared" si="129"/>
        <v>152823</v>
      </c>
      <c r="M913" s="40">
        <f t="shared" si="134"/>
        <v>32377</v>
      </c>
      <c r="N913" s="41" t="str">
        <f t="shared" ca="1" si="135"/>
        <v>Sénior</v>
      </c>
      <c r="O913" s="41" t="str">
        <f t="shared" si="130"/>
        <v>M</v>
      </c>
      <c r="P913" s="60" t="str">
        <f t="shared" si="131"/>
        <v>ADG</v>
      </c>
      <c r="Q913" s="61"/>
    </row>
    <row r="914" spans="1:17" ht="13">
      <c r="A914" s="28">
        <v>1504</v>
      </c>
      <c r="B914" s="28">
        <v>130229</v>
      </c>
      <c r="C914" s="129" t="s">
        <v>399</v>
      </c>
      <c r="D914" s="128" t="s">
        <v>159</v>
      </c>
      <c r="E914" s="128" t="s">
        <v>145</v>
      </c>
      <c r="F914" s="29">
        <v>28291</v>
      </c>
      <c r="G914" s="56" t="str">
        <f t="shared" ca="1" si="132"/>
        <v>V 40</v>
      </c>
      <c r="H914" s="28">
        <f t="shared" ca="1" si="133"/>
        <v>43</v>
      </c>
      <c r="J914" s="38" t="str">
        <f t="shared" si="127"/>
        <v>Élvio Melim</v>
      </c>
      <c r="K914" s="39">
        <f t="shared" si="128"/>
        <v>1504</v>
      </c>
      <c r="L914" s="39">
        <f t="shared" si="129"/>
        <v>130229</v>
      </c>
      <c r="M914" s="40">
        <f t="shared" si="134"/>
        <v>28291</v>
      </c>
      <c r="N914" s="41" t="str">
        <f t="shared" ca="1" si="135"/>
        <v>V 40</v>
      </c>
      <c r="O914" s="41" t="str">
        <f t="shared" si="130"/>
        <v>M</v>
      </c>
      <c r="P914" s="60" t="str">
        <f t="shared" si="131"/>
        <v>ADG</v>
      </c>
      <c r="Q914" s="61"/>
    </row>
    <row r="915" spans="1:17" ht="13">
      <c r="A915" s="28">
        <v>17</v>
      </c>
      <c r="B915" s="28">
        <v>130320</v>
      </c>
      <c r="C915" s="129" t="s">
        <v>397</v>
      </c>
      <c r="D915" s="128" t="s">
        <v>159</v>
      </c>
      <c r="E915" s="128" t="s">
        <v>146</v>
      </c>
      <c r="F915" s="29">
        <v>29168</v>
      </c>
      <c r="G915" s="56" t="str">
        <f t="shared" ca="1" si="132"/>
        <v>V 40</v>
      </c>
      <c r="H915" s="28">
        <f t="shared" ca="1" si="133"/>
        <v>41</v>
      </c>
      <c r="J915" s="38" t="str">
        <f t="shared" si="127"/>
        <v>Rubina Perestrelo</v>
      </c>
      <c r="K915" s="39">
        <f t="shared" si="128"/>
        <v>17</v>
      </c>
      <c r="L915" s="39">
        <f t="shared" si="129"/>
        <v>130320</v>
      </c>
      <c r="M915" s="40">
        <f t="shared" si="134"/>
        <v>29168</v>
      </c>
      <c r="N915" s="41" t="str">
        <f t="shared" ca="1" si="135"/>
        <v>V 40</v>
      </c>
      <c r="O915" s="41" t="str">
        <f t="shared" si="130"/>
        <v>F</v>
      </c>
      <c r="P915" s="60" t="str">
        <f t="shared" si="131"/>
        <v>ADG</v>
      </c>
      <c r="Q915" s="61"/>
    </row>
    <row r="916" spans="1:17" ht="13">
      <c r="A916" s="28">
        <v>18</v>
      </c>
      <c r="B916" s="28">
        <v>129804</v>
      </c>
      <c r="C916" s="129" t="s">
        <v>285</v>
      </c>
      <c r="D916" s="128" t="s">
        <v>159</v>
      </c>
      <c r="E916" s="128" t="s">
        <v>146</v>
      </c>
      <c r="F916" s="29">
        <v>28885</v>
      </c>
      <c r="G916" s="56" t="str">
        <f t="shared" ca="1" si="132"/>
        <v>V 40</v>
      </c>
      <c r="H916" s="28">
        <f t="shared" ca="1" si="133"/>
        <v>42</v>
      </c>
      <c r="J916" s="38" t="str">
        <f t="shared" si="127"/>
        <v>Liliana R. Freitas</v>
      </c>
      <c r="K916" s="39">
        <f t="shared" si="128"/>
        <v>18</v>
      </c>
      <c r="L916" s="39">
        <f t="shared" si="129"/>
        <v>129804</v>
      </c>
      <c r="M916" s="40">
        <f t="shared" si="134"/>
        <v>28885</v>
      </c>
      <c r="N916" s="41" t="str">
        <f t="shared" ca="1" si="135"/>
        <v>V 40</v>
      </c>
      <c r="O916" s="41" t="str">
        <f t="shared" si="130"/>
        <v>F</v>
      </c>
      <c r="P916" s="60" t="str">
        <f t="shared" si="131"/>
        <v>ADG</v>
      </c>
      <c r="Q916" s="61"/>
    </row>
    <row r="917" spans="1:17" ht="13">
      <c r="A917" s="28">
        <v>15</v>
      </c>
      <c r="B917" s="28">
        <v>134489</v>
      </c>
      <c r="C917" s="129" t="s">
        <v>391</v>
      </c>
      <c r="D917" s="128" t="s">
        <v>159</v>
      </c>
      <c r="E917" s="128" t="s">
        <v>146</v>
      </c>
      <c r="F917" s="29">
        <v>31434</v>
      </c>
      <c r="G917" s="56" t="str">
        <f t="shared" ca="1" si="132"/>
        <v>V 35</v>
      </c>
      <c r="H917" s="28">
        <f t="shared" ca="1" si="133"/>
        <v>35</v>
      </c>
      <c r="J917" s="38" t="str">
        <f t="shared" si="127"/>
        <v>Fabiana Gonçalves</v>
      </c>
      <c r="K917" s="39">
        <f t="shared" si="128"/>
        <v>15</v>
      </c>
      <c r="L917" s="39">
        <f t="shared" si="129"/>
        <v>134489</v>
      </c>
      <c r="M917" s="40">
        <f t="shared" si="134"/>
        <v>31434</v>
      </c>
      <c r="N917" s="41" t="str">
        <f t="shared" ca="1" si="135"/>
        <v>V 35</v>
      </c>
      <c r="O917" s="41" t="str">
        <f t="shared" si="130"/>
        <v>F</v>
      </c>
      <c r="P917" s="60" t="str">
        <f t="shared" si="131"/>
        <v>ADG</v>
      </c>
      <c r="Q917" s="61"/>
    </row>
    <row r="918" spans="1:17" ht="13">
      <c r="A918" s="28">
        <v>16</v>
      </c>
      <c r="B918" s="28">
        <v>148995</v>
      </c>
      <c r="C918" s="129" t="s">
        <v>1031</v>
      </c>
      <c r="D918" s="128" t="s">
        <v>159</v>
      </c>
      <c r="E918" s="128" t="s">
        <v>146</v>
      </c>
      <c r="F918" s="29">
        <v>31109</v>
      </c>
      <c r="G918" s="56" t="str">
        <f t="shared" ca="1" si="132"/>
        <v>V 35</v>
      </c>
      <c r="H918" s="28">
        <f t="shared" ca="1" si="133"/>
        <v>36</v>
      </c>
      <c r="J918" s="38" t="str">
        <f t="shared" si="127"/>
        <v>Joana G. Freitas</v>
      </c>
      <c r="K918" s="39">
        <f t="shared" si="128"/>
        <v>16</v>
      </c>
      <c r="L918" s="39">
        <f t="shared" si="129"/>
        <v>148995</v>
      </c>
      <c r="M918" s="40">
        <f t="shared" si="134"/>
        <v>31109</v>
      </c>
      <c r="N918" s="41" t="str">
        <f t="shared" ca="1" si="135"/>
        <v>V 35</v>
      </c>
      <c r="O918" s="41" t="str">
        <f t="shared" si="130"/>
        <v>F</v>
      </c>
      <c r="P918" s="60" t="str">
        <f t="shared" si="131"/>
        <v>ADG</v>
      </c>
      <c r="Q918" s="61"/>
    </row>
    <row r="919" spans="1:17" ht="13">
      <c r="A919" s="28">
        <v>1505</v>
      </c>
      <c r="B919" s="28">
        <v>140723</v>
      </c>
      <c r="C919" s="129" t="s">
        <v>479</v>
      </c>
      <c r="D919" s="128" t="s">
        <v>159</v>
      </c>
      <c r="E919" s="128" t="s">
        <v>145</v>
      </c>
      <c r="F919" s="29">
        <v>30061</v>
      </c>
      <c r="G919" s="56" t="str">
        <f t="shared" ca="1" si="132"/>
        <v>V 35</v>
      </c>
      <c r="H919" s="28">
        <f t="shared" ca="1" si="133"/>
        <v>39</v>
      </c>
      <c r="J919" s="38" t="str">
        <f t="shared" si="127"/>
        <v>Eduardo Carvalho</v>
      </c>
      <c r="K919" s="39">
        <f t="shared" si="128"/>
        <v>1505</v>
      </c>
      <c r="L919" s="39">
        <f t="shared" si="129"/>
        <v>140723</v>
      </c>
      <c r="M919" s="40">
        <f t="shared" si="134"/>
        <v>30061</v>
      </c>
      <c r="N919" s="41" t="str">
        <f t="shared" ca="1" si="135"/>
        <v>V 35</v>
      </c>
      <c r="O919" s="41" t="str">
        <f t="shared" si="130"/>
        <v>M</v>
      </c>
      <c r="P919" s="60" t="str">
        <f t="shared" si="131"/>
        <v>ADG</v>
      </c>
      <c r="Q919" s="61"/>
    </row>
    <row r="920" spans="1:17" ht="13">
      <c r="A920" s="28">
        <v>203</v>
      </c>
      <c r="B920" s="28">
        <v>130707</v>
      </c>
      <c r="C920" s="129" t="s">
        <v>1403</v>
      </c>
      <c r="D920" s="128" t="s">
        <v>124</v>
      </c>
      <c r="E920" s="128" t="s">
        <v>146</v>
      </c>
      <c r="F920" s="29">
        <v>32114</v>
      </c>
      <c r="G920" s="56" t="str">
        <f t="shared" ca="1" si="132"/>
        <v>Sénior</v>
      </c>
      <c r="H920" s="28">
        <f t="shared" ca="1" si="133"/>
        <v>33</v>
      </c>
      <c r="J920" s="38" t="str">
        <f t="shared" si="127"/>
        <v>Tânia Caires</v>
      </c>
      <c r="K920" s="39">
        <f t="shared" si="128"/>
        <v>203</v>
      </c>
      <c r="L920" s="39">
        <f t="shared" si="129"/>
        <v>130707</v>
      </c>
      <c r="M920" s="40">
        <f t="shared" si="134"/>
        <v>32114</v>
      </c>
      <c r="N920" s="41" t="str">
        <f t="shared" ca="1" si="135"/>
        <v>Sénior</v>
      </c>
      <c r="O920" s="41" t="str">
        <f t="shared" si="130"/>
        <v>F</v>
      </c>
      <c r="P920" s="60" t="str">
        <f t="shared" si="131"/>
        <v>CSM</v>
      </c>
      <c r="Q920" s="61"/>
    </row>
    <row r="921" spans="1:17" ht="13">
      <c r="A921" s="28">
        <v>1775</v>
      </c>
      <c r="B921" s="28">
        <v>144306</v>
      </c>
      <c r="C921" s="129" t="s">
        <v>970</v>
      </c>
      <c r="D921" s="128" t="s">
        <v>124</v>
      </c>
      <c r="E921" s="128" t="s">
        <v>146</v>
      </c>
      <c r="F921" s="29">
        <v>39129</v>
      </c>
      <c r="G921" s="56" t="str">
        <f t="shared" ca="1" si="132"/>
        <v>Iniciado</v>
      </c>
      <c r="H921" s="28">
        <f t="shared" ca="1" si="133"/>
        <v>14</v>
      </c>
      <c r="J921" s="38" t="str">
        <f t="shared" si="127"/>
        <v>Alexandra Aguiar</v>
      </c>
      <c r="K921" s="39">
        <f t="shared" si="128"/>
        <v>1775</v>
      </c>
      <c r="L921" s="39">
        <f t="shared" si="129"/>
        <v>144306</v>
      </c>
      <c r="M921" s="40">
        <f t="shared" si="134"/>
        <v>39129</v>
      </c>
      <c r="N921" s="41" t="str">
        <f t="shared" ca="1" si="135"/>
        <v>Iniciado</v>
      </c>
      <c r="O921" s="41" t="str">
        <f t="shared" si="130"/>
        <v>F</v>
      </c>
      <c r="P921" s="60" t="str">
        <f t="shared" si="131"/>
        <v>CSM</v>
      </c>
      <c r="Q921" s="61"/>
    </row>
    <row r="922" spans="1:17" ht="13">
      <c r="A922" s="28">
        <v>210</v>
      </c>
      <c r="B922" s="28">
        <v>125762</v>
      </c>
      <c r="C922" s="129" t="s">
        <v>1137</v>
      </c>
      <c r="D922" s="128" t="s">
        <v>124</v>
      </c>
      <c r="E922" s="128" t="s">
        <v>146</v>
      </c>
      <c r="F922" s="29">
        <v>36560</v>
      </c>
      <c r="G922" s="56" t="str">
        <f t="shared" ca="1" si="132"/>
        <v>sub 23</v>
      </c>
      <c r="H922" s="28">
        <f t="shared" ca="1" si="133"/>
        <v>21</v>
      </c>
      <c r="J922" s="38" t="str">
        <f t="shared" si="127"/>
        <v>Patrícia Alminhas</v>
      </c>
      <c r="K922" s="39">
        <f t="shared" si="128"/>
        <v>210</v>
      </c>
      <c r="L922" s="39">
        <f t="shared" si="129"/>
        <v>125762</v>
      </c>
      <c r="M922" s="40">
        <f t="shared" si="134"/>
        <v>36560</v>
      </c>
      <c r="N922" s="41" t="str">
        <f t="shared" ca="1" si="135"/>
        <v>sub 23</v>
      </c>
      <c r="O922" s="41" t="str">
        <f t="shared" si="130"/>
        <v>F</v>
      </c>
      <c r="P922" s="60" t="str">
        <f t="shared" si="131"/>
        <v>CSM</v>
      </c>
      <c r="Q922" s="61"/>
    </row>
    <row r="923" spans="1:17" ht="13">
      <c r="A923" s="28">
        <v>2081</v>
      </c>
      <c r="B923" s="28">
        <v>152771</v>
      </c>
      <c r="C923" s="129" t="s">
        <v>834</v>
      </c>
      <c r="D923" s="128" t="s">
        <v>124</v>
      </c>
      <c r="E923" s="128" t="s">
        <v>146</v>
      </c>
      <c r="F923" s="29">
        <v>40565</v>
      </c>
      <c r="G923" s="56" t="str">
        <f t="shared" ca="1" si="132"/>
        <v>Benjamim B</v>
      </c>
      <c r="H923" s="28">
        <f t="shared" ca="1" si="133"/>
        <v>10</v>
      </c>
      <c r="J923" s="38" t="str">
        <f t="shared" si="127"/>
        <v>Madalena Neto</v>
      </c>
      <c r="K923" s="39">
        <f t="shared" si="128"/>
        <v>2081</v>
      </c>
      <c r="L923" s="39">
        <f t="shared" si="129"/>
        <v>152771</v>
      </c>
      <c r="M923" s="40">
        <f t="shared" si="134"/>
        <v>40565</v>
      </c>
      <c r="N923" s="41" t="str">
        <f t="shared" ca="1" si="135"/>
        <v>Benjamim B</v>
      </c>
      <c r="O923" s="41" t="str">
        <f t="shared" si="130"/>
        <v>F</v>
      </c>
      <c r="P923" s="60" t="str">
        <f t="shared" si="131"/>
        <v>CSM</v>
      </c>
      <c r="Q923" s="61"/>
    </row>
    <row r="924" spans="1:17" ht="13">
      <c r="A924" s="28">
        <v>2228</v>
      </c>
      <c r="B924" s="28">
        <v>140310</v>
      </c>
      <c r="C924" s="129" t="s">
        <v>446</v>
      </c>
      <c r="D924" s="128" t="s">
        <v>124</v>
      </c>
      <c r="E924" s="128" t="s">
        <v>145</v>
      </c>
      <c r="F924" s="29">
        <v>40373</v>
      </c>
      <c r="G924" s="56" t="str">
        <f t="shared" ca="1" si="132"/>
        <v>Benjamim B</v>
      </c>
      <c r="H924" s="28">
        <f t="shared" ca="1" si="133"/>
        <v>10</v>
      </c>
      <c r="J924" s="38" t="str">
        <f t="shared" si="127"/>
        <v>Gonçalo P. Silva</v>
      </c>
      <c r="K924" s="39">
        <f t="shared" si="128"/>
        <v>2228</v>
      </c>
      <c r="L924" s="39">
        <f t="shared" si="129"/>
        <v>140310</v>
      </c>
      <c r="M924" s="40">
        <f t="shared" si="134"/>
        <v>40373</v>
      </c>
      <c r="N924" s="41" t="str">
        <f t="shared" ca="1" si="135"/>
        <v>Benjamim B</v>
      </c>
      <c r="O924" s="41" t="str">
        <f t="shared" si="130"/>
        <v>M</v>
      </c>
      <c r="P924" s="60" t="str">
        <f t="shared" si="131"/>
        <v>CSM</v>
      </c>
      <c r="Q924" s="61"/>
    </row>
    <row r="925" spans="1:17" ht="13">
      <c r="A925" s="28">
        <v>1034</v>
      </c>
      <c r="B925" s="28">
        <v>137198</v>
      </c>
      <c r="C925" s="129" t="s">
        <v>424</v>
      </c>
      <c r="D925" s="128" t="s">
        <v>124</v>
      </c>
      <c r="E925" s="128" t="s">
        <v>145</v>
      </c>
      <c r="F925" s="29">
        <v>34692</v>
      </c>
      <c r="G925" s="56" t="str">
        <f t="shared" ca="1" si="132"/>
        <v>Sénior</v>
      </c>
      <c r="H925" s="28">
        <f t="shared" ca="1" si="133"/>
        <v>26</v>
      </c>
      <c r="J925" s="38" t="str">
        <f t="shared" si="127"/>
        <v>Diogo Costa</v>
      </c>
      <c r="K925" s="39">
        <f t="shared" si="128"/>
        <v>1034</v>
      </c>
      <c r="L925" s="39">
        <f t="shared" si="129"/>
        <v>137198</v>
      </c>
      <c r="M925" s="40">
        <f t="shared" si="134"/>
        <v>34692</v>
      </c>
      <c r="N925" s="41" t="str">
        <f t="shared" ca="1" si="135"/>
        <v>Sénior</v>
      </c>
      <c r="O925" s="41" t="str">
        <f t="shared" si="130"/>
        <v>M</v>
      </c>
      <c r="P925" s="60" t="str">
        <f t="shared" si="131"/>
        <v>CSM</v>
      </c>
      <c r="Q925" s="61"/>
    </row>
    <row r="926" spans="1:17" ht="13">
      <c r="A926" s="28">
        <v>1571</v>
      </c>
      <c r="B926" s="28">
        <v>139340</v>
      </c>
      <c r="C926" s="129" t="s">
        <v>1058</v>
      </c>
      <c r="D926" s="128" t="s">
        <v>124</v>
      </c>
      <c r="E926" s="128" t="s">
        <v>146</v>
      </c>
      <c r="F926" s="29">
        <v>38636</v>
      </c>
      <c r="G926" s="56" t="str">
        <f t="shared" ca="1" si="132"/>
        <v>Juvenil</v>
      </c>
      <c r="H926" s="28">
        <f t="shared" ca="1" si="133"/>
        <v>15</v>
      </c>
      <c r="J926" s="38" t="str">
        <f t="shared" si="127"/>
        <v>Jéssica Fernandes</v>
      </c>
      <c r="K926" s="39">
        <f t="shared" si="128"/>
        <v>1571</v>
      </c>
      <c r="L926" s="39">
        <f t="shared" si="129"/>
        <v>139340</v>
      </c>
      <c r="M926" s="40">
        <f t="shared" si="134"/>
        <v>38636</v>
      </c>
      <c r="N926" s="41" t="str">
        <f t="shared" ca="1" si="135"/>
        <v>Juvenil</v>
      </c>
      <c r="O926" s="41" t="str">
        <f t="shared" si="130"/>
        <v>F</v>
      </c>
      <c r="P926" s="60" t="str">
        <f t="shared" si="131"/>
        <v>CSM</v>
      </c>
      <c r="Q926" s="61"/>
    </row>
    <row r="927" spans="1:17" ht="13">
      <c r="A927" s="28">
        <v>1720</v>
      </c>
      <c r="B927" s="28">
        <v>145376</v>
      </c>
      <c r="C927" s="129" t="s">
        <v>1432</v>
      </c>
      <c r="D927" s="128" t="s">
        <v>124</v>
      </c>
      <c r="E927" s="128" t="s">
        <v>145</v>
      </c>
      <c r="F927" s="29">
        <v>37880</v>
      </c>
      <c r="G927" s="56" t="str">
        <f t="shared" ca="1" si="132"/>
        <v>Júnior</v>
      </c>
      <c r="H927" s="28">
        <f t="shared" ca="1" si="133"/>
        <v>17</v>
      </c>
      <c r="J927" s="38" t="str">
        <f t="shared" si="127"/>
        <v>Gonçalo N. Fernandes</v>
      </c>
      <c r="K927" s="39">
        <f t="shared" si="128"/>
        <v>1720</v>
      </c>
      <c r="L927" s="39">
        <f t="shared" si="129"/>
        <v>145376</v>
      </c>
      <c r="M927" s="40">
        <f t="shared" si="134"/>
        <v>37880</v>
      </c>
      <c r="N927" s="41" t="str">
        <f t="shared" ca="1" si="135"/>
        <v>Júnior</v>
      </c>
      <c r="O927" s="41" t="str">
        <f t="shared" si="130"/>
        <v>M</v>
      </c>
      <c r="P927" s="60" t="str">
        <f t="shared" si="131"/>
        <v>CSM</v>
      </c>
      <c r="Q927" s="61"/>
    </row>
    <row r="928" spans="1:17" ht="13">
      <c r="A928" s="28">
        <v>2227</v>
      </c>
      <c r="B928" s="28">
        <v>162968</v>
      </c>
      <c r="C928" s="129" t="s">
        <v>1434</v>
      </c>
      <c r="D928" s="128" t="s">
        <v>124</v>
      </c>
      <c r="E928" s="128" t="s">
        <v>145</v>
      </c>
      <c r="F928" s="29">
        <v>40606</v>
      </c>
      <c r="G928" s="56" t="str">
        <f t="shared" ca="1" si="132"/>
        <v>Benjamim B</v>
      </c>
      <c r="H928" s="28">
        <f t="shared" ca="1" si="133"/>
        <v>10</v>
      </c>
      <c r="J928" s="38" t="str">
        <f t="shared" si="127"/>
        <v>Matias Vieira</v>
      </c>
      <c r="K928" s="39">
        <f t="shared" si="128"/>
        <v>2227</v>
      </c>
      <c r="L928" s="39">
        <f t="shared" si="129"/>
        <v>162968</v>
      </c>
      <c r="M928" s="40">
        <f t="shared" si="134"/>
        <v>40606</v>
      </c>
      <c r="N928" s="41" t="str">
        <f t="shared" ca="1" si="135"/>
        <v>Benjamim B</v>
      </c>
      <c r="O928" s="41" t="str">
        <f t="shared" si="130"/>
        <v>M</v>
      </c>
      <c r="P928" s="60" t="str">
        <f t="shared" si="131"/>
        <v>CSM</v>
      </c>
      <c r="Q928" s="61"/>
    </row>
    <row r="929" spans="1:17" ht="13">
      <c r="A929" s="28">
        <v>2082</v>
      </c>
      <c r="B929" s="28">
        <v>162831</v>
      </c>
      <c r="C929" s="129" t="s">
        <v>1428</v>
      </c>
      <c r="D929" s="128" t="s">
        <v>124</v>
      </c>
      <c r="E929" s="128" t="s">
        <v>146</v>
      </c>
      <c r="F929" s="29">
        <v>40723</v>
      </c>
      <c r="G929" s="56" t="str">
        <f t="shared" ca="1" si="132"/>
        <v>Benjamim B</v>
      </c>
      <c r="H929" s="28">
        <f t="shared" ca="1" si="133"/>
        <v>9</v>
      </c>
      <c r="J929" s="38" t="str">
        <f t="shared" si="127"/>
        <v>Valentina Baptista</v>
      </c>
      <c r="K929" s="39">
        <f t="shared" si="128"/>
        <v>2082</v>
      </c>
      <c r="L929" s="39">
        <f t="shared" si="129"/>
        <v>162831</v>
      </c>
      <c r="M929" s="40">
        <f t="shared" si="134"/>
        <v>40723</v>
      </c>
      <c r="N929" s="41" t="str">
        <f t="shared" ca="1" si="135"/>
        <v>Benjamim B</v>
      </c>
      <c r="O929" s="41" t="str">
        <f t="shared" si="130"/>
        <v>F</v>
      </c>
      <c r="P929" s="60" t="str">
        <f t="shared" si="131"/>
        <v>CSM</v>
      </c>
      <c r="Q929" s="61"/>
    </row>
    <row r="930" spans="1:17" ht="13">
      <c r="A930" s="28">
        <v>2083</v>
      </c>
      <c r="B930" s="28">
        <v>162461</v>
      </c>
      <c r="C930" s="129" t="s">
        <v>1426</v>
      </c>
      <c r="D930" s="128" t="s">
        <v>124</v>
      </c>
      <c r="E930" s="128" t="s">
        <v>146</v>
      </c>
      <c r="F930" s="29">
        <v>40539</v>
      </c>
      <c r="G930" s="56" t="str">
        <f t="shared" ca="1" si="132"/>
        <v>Benjamim B</v>
      </c>
      <c r="H930" s="28">
        <f t="shared" ca="1" si="133"/>
        <v>10</v>
      </c>
      <c r="J930" s="38" t="str">
        <f t="shared" si="127"/>
        <v>Sabrina Correia</v>
      </c>
      <c r="K930" s="39">
        <f t="shared" si="128"/>
        <v>2083</v>
      </c>
      <c r="L930" s="39">
        <f t="shared" si="129"/>
        <v>162461</v>
      </c>
      <c r="M930" s="40">
        <f t="shared" si="134"/>
        <v>40539</v>
      </c>
      <c r="N930" s="41" t="str">
        <f t="shared" ca="1" si="135"/>
        <v>Benjamim B</v>
      </c>
      <c r="O930" s="41" t="str">
        <f t="shared" si="130"/>
        <v>F</v>
      </c>
      <c r="P930" s="60" t="str">
        <f t="shared" si="131"/>
        <v>CSM</v>
      </c>
      <c r="Q930" s="61"/>
    </row>
    <row r="931" spans="1:17" ht="13">
      <c r="A931" s="28">
        <v>2084</v>
      </c>
      <c r="B931" s="28">
        <v>162572</v>
      </c>
      <c r="C931" s="129" t="s">
        <v>1427</v>
      </c>
      <c r="D931" s="128" t="s">
        <v>124</v>
      </c>
      <c r="E931" s="128" t="s">
        <v>146</v>
      </c>
      <c r="F931" s="29">
        <v>40652</v>
      </c>
      <c r="G931" s="56" t="str">
        <f t="shared" ca="1" si="132"/>
        <v>Benjamim B</v>
      </c>
      <c r="H931" s="28">
        <f t="shared" ca="1" si="133"/>
        <v>10</v>
      </c>
      <c r="J931" s="38" t="str">
        <f t="shared" si="127"/>
        <v>Sarah Rodrigues</v>
      </c>
      <c r="K931" s="39">
        <f t="shared" si="128"/>
        <v>2084</v>
      </c>
      <c r="L931" s="39">
        <f t="shared" si="129"/>
        <v>162572</v>
      </c>
      <c r="M931" s="40">
        <f t="shared" si="134"/>
        <v>40652</v>
      </c>
      <c r="N931" s="41" t="str">
        <f t="shared" ca="1" si="135"/>
        <v>Benjamim B</v>
      </c>
      <c r="O931" s="41" t="str">
        <f t="shared" si="130"/>
        <v>F</v>
      </c>
      <c r="P931" s="60" t="str">
        <f t="shared" si="131"/>
        <v>CSM</v>
      </c>
      <c r="Q931" s="61"/>
    </row>
    <row r="932" spans="1:17" ht="13">
      <c r="A932" s="28">
        <v>1168</v>
      </c>
      <c r="B932" s="28">
        <v>163110</v>
      </c>
      <c r="C932" s="129" t="s">
        <v>1551</v>
      </c>
      <c r="D932" s="128" t="s">
        <v>545</v>
      </c>
      <c r="E932" s="128" t="s">
        <v>145</v>
      </c>
      <c r="F932" s="29">
        <v>29277</v>
      </c>
      <c r="G932" s="56" t="str">
        <f t="shared" ca="1" si="132"/>
        <v>V 40</v>
      </c>
      <c r="H932" s="28">
        <f t="shared" ca="1" si="133"/>
        <v>41</v>
      </c>
      <c r="J932" s="38" t="str">
        <f t="shared" si="127"/>
        <v>Pedro M. Soares</v>
      </c>
      <c r="K932" s="39">
        <f t="shared" si="128"/>
        <v>1168</v>
      </c>
      <c r="L932" s="39">
        <f t="shared" si="129"/>
        <v>163110</v>
      </c>
      <c r="M932" s="40">
        <f t="shared" si="134"/>
        <v>29277</v>
      </c>
      <c r="N932" s="41" t="str">
        <f t="shared" ca="1" si="135"/>
        <v>V 40</v>
      </c>
      <c r="O932" s="41" t="str">
        <f t="shared" si="130"/>
        <v>M</v>
      </c>
      <c r="P932" s="60" t="str">
        <f t="shared" si="131"/>
        <v>CEE-M</v>
      </c>
      <c r="Q932" s="61"/>
    </row>
    <row r="933" spans="1:17" ht="13">
      <c r="A933" s="28">
        <v>1177</v>
      </c>
      <c r="B933" s="28">
        <v>163110</v>
      </c>
      <c r="C933" s="129" t="s">
        <v>245</v>
      </c>
      <c r="D933" s="128" t="s">
        <v>545</v>
      </c>
      <c r="E933" s="128" t="s">
        <v>145</v>
      </c>
      <c r="F933" s="29">
        <v>30368</v>
      </c>
      <c r="G933" s="56" t="str">
        <f t="shared" ca="1" si="132"/>
        <v>V 35</v>
      </c>
      <c r="H933" s="28">
        <f t="shared" ca="1" si="133"/>
        <v>38</v>
      </c>
      <c r="J933" s="38" t="str">
        <f t="shared" si="127"/>
        <v>Nuno Figueira</v>
      </c>
      <c r="K933" s="39">
        <f t="shared" si="128"/>
        <v>1177</v>
      </c>
      <c r="L933" s="39">
        <f t="shared" si="129"/>
        <v>163110</v>
      </c>
      <c r="M933" s="40">
        <f t="shared" si="134"/>
        <v>30368</v>
      </c>
      <c r="N933" s="41" t="str">
        <f t="shared" ca="1" si="135"/>
        <v>V 35</v>
      </c>
      <c r="O933" s="41" t="str">
        <f t="shared" si="130"/>
        <v>M</v>
      </c>
      <c r="P933" s="60" t="str">
        <f t="shared" si="131"/>
        <v>CEE-M</v>
      </c>
      <c r="Q933" s="61"/>
    </row>
    <row r="934" spans="1:17" ht="13">
      <c r="A934" s="28">
        <v>1176</v>
      </c>
      <c r="B934" s="28">
        <v>158366</v>
      </c>
      <c r="C934" s="129" t="s">
        <v>1123</v>
      </c>
      <c r="D934" s="128" t="s">
        <v>545</v>
      </c>
      <c r="E934" s="128" t="s">
        <v>145</v>
      </c>
      <c r="F934" s="29">
        <v>30974</v>
      </c>
      <c r="G934" s="56" t="str">
        <f t="shared" ca="1" si="132"/>
        <v>V 35</v>
      </c>
      <c r="H934" s="28">
        <f t="shared" ca="1" si="133"/>
        <v>36</v>
      </c>
      <c r="J934" s="38" t="str">
        <f t="shared" si="127"/>
        <v>Ricardo M. Ribeiro</v>
      </c>
      <c r="K934" s="39">
        <f t="shared" si="128"/>
        <v>1176</v>
      </c>
      <c r="L934" s="39">
        <f t="shared" si="129"/>
        <v>158366</v>
      </c>
      <c r="M934" s="40">
        <f t="shared" si="134"/>
        <v>30974</v>
      </c>
      <c r="N934" s="41" t="str">
        <f t="shared" ca="1" si="135"/>
        <v>V 35</v>
      </c>
      <c r="O934" s="41" t="str">
        <f t="shared" si="130"/>
        <v>M</v>
      </c>
      <c r="P934" s="60" t="str">
        <f t="shared" si="131"/>
        <v>CEE-M</v>
      </c>
      <c r="Q934" s="61"/>
    </row>
    <row r="935" spans="1:17" ht="13">
      <c r="A935" s="28">
        <v>90</v>
      </c>
      <c r="B935" s="28">
        <v>163490</v>
      </c>
      <c r="C935" s="129" t="s">
        <v>1604</v>
      </c>
      <c r="D935" s="128" t="s">
        <v>158</v>
      </c>
      <c r="E935" s="128" t="s">
        <v>146</v>
      </c>
      <c r="F935" s="29">
        <v>29750</v>
      </c>
      <c r="G935" s="56" t="str">
        <f t="shared" ca="1" si="132"/>
        <v>V 35</v>
      </c>
      <c r="H935" s="28">
        <f t="shared" ca="1" si="133"/>
        <v>39</v>
      </c>
      <c r="J935" s="38" t="str">
        <f t="shared" si="127"/>
        <v>Ericka Perestrelo</v>
      </c>
      <c r="K935" s="39">
        <f t="shared" si="128"/>
        <v>90</v>
      </c>
      <c r="L935" s="39">
        <f t="shared" si="129"/>
        <v>163490</v>
      </c>
      <c r="M935" s="40">
        <f t="shared" si="134"/>
        <v>29750</v>
      </c>
      <c r="N935" s="41" t="str">
        <f t="shared" ca="1" si="135"/>
        <v>V 35</v>
      </c>
      <c r="O935" s="41" t="str">
        <f t="shared" si="130"/>
        <v>F</v>
      </c>
      <c r="P935" s="60" t="str">
        <f t="shared" si="131"/>
        <v>CAMAD</v>
      </c>
      <c r="Q935" s="61"/>
    </row>
    <row r="936" spans="1:17" ht="13">
      <c r="A936" s="28">
        <v>1326</v>
      </c>
      <c r="B936" s="28">
        <v>153205</v>
      </c>
      <c r="C936" s="129" t="s">
        <v>846</v>
      </c>
      <c r="D936" s="128" t="s">
        <v>158</v>
      </c>
      <c r="E936" s="128" t="s">
        <v>145</v>
      </c>
      <c r="F936" s="29">
        <v>25892</v>
      </c>
      <c r="G936" s="56" t="str">
        <f t="shared" ca="1" si="132"/>
        <v>V 50</v>
      </c>
      <c r="H936" s="28">
        <f t="shared" ca="1" si="133"/>
        <v>50</v>
      </c>
      <c r="J936" s="38" t="str">
        <f t="shared" si="127"/>
        <v>Gabriel Conceição</v>
      </c>
      <c r="K936" s="39">
        <f t="shared" si="128"/>
        <v>1326</v>
      </c>
      <c r="L936" s="39">
        <f t="shared" si="129"/>
        <v>153205</v>
      </c>
      <c r="M936" s="40">
        <f t="shared" si="134"/>
        <v>25892</v>
      </c>
      <c r="N936" s="41" t="str">
        <f t="shared" ca="1" si="135"/>
        <v>V 50</v>
      </c>
      <c r="O936" s="41" t="str">
        <f t="shared" si="130"/>
        <v>M</v>
      </c>
      <c r="P936" s="60" t="str">
        <f t="shared" si="131"/>
        <v>CAMAD</v>
      </c>
      <c r="Q936" s="61"/>
    </row>
    <row r="937" spans="1:17" ht="13">
      <c r="A937" s="28">
        <v>874</v>
      </c>
      <c r="B937" s="28">
        <v>158773</v>
      </c>
      <c r="C937" s="129" t="s">
        <v>1144</v>
      </c>
      <c r="D937" s="128" t="s">
        <v>158</v>
      </c>
      <c r="E937" s="128" t="s">
        <v>145</v>
      </c>
      <c r="F937" s="29">
        <v>20093</v>
      </c>
      <c r="G937" s="56" t="str">
        <f t="shared" ca="1" si="132"/>
        <v>V 65</v>
      </c>
      <c r="H937" s="28">
        <f t="shared" ca="1" si="133"/>
        <v>66</v>
      </c>
      <c r="J937" s="38" t="str">
        <f t="shared" si="127"/>
        <v>João S. Azevedo</v>
      </c>
      <c r="K937" s="39">
        <f t="shared" si="128"/>
        <v>874</v>
      </c>
      <c r="L937" s="39">
        <f t="shared" si="129"/>
        <v>158773</v>
      </c>
      <c r="M937" s="40">
        <f t="shared" si="134"/>
        <v>20093</v>
      </c>
      <c r="N937" s="41" t="str">
        <f t="shared" ca="1" si="135"/>
        <v>V 65</v>
      </c>
      <c r="O937" s="41" t="str">
        <f t="shared" si="130"/>
        <v>M</v>
      </c>
      <c r="P937" s="60" t="str">
        <f t="shared" si="131"/>
        <v>CAMAD</v>
      </c>
      <c r="Q937" s="61"/>
    </row>
    <row r="938" spans="1:17" ht="13">
      <c r="A938" s="28">
        <v>1328</v>
      </c>
      <c r="B938" s="28">
        <v>127857</v>
      </c>
      <c r="C938" s="129" t="s">
        <v>396</v>
      </c>
      <c r="D938" s="128" t="s">
        <v>158</v>
      </c>
      <c r="E938" s="128" t="s">
        <v>145</v>
      </c>
      <c r="F938" s="29">
        <v>26152</v>
      </c>
      <c r="G938" s="56" t="str">
        <f t="shared" ca="1" si="132"/>
        <v>V 45</v>
      </c>
      <c r="H938" s="28">
        <f t="shared" ca="1" si="133"/>
        <v>49</v>
      </c>
      <c r="J938" s="38" t="str">
        <f t="shared" si="127"/>
        <v>João Mendonça</v>
      </c>
      <c r="K938" s="39">
        <f t="shared" si="128"/>
        <v>1328</v>
      </c>
      <c r="L938" s="39">
        <f t="shared" si="129"/>
        <v>127857</v>
      </c>
      <c r="M938" s="40">
        <f t="shared" si="134"/>
        <v>26152</v>
      </c>
      <c r="N938" s="41" t="str">
        <f t="shared" ca="1" si="135"/>
        <v>V 45</v>
      </c>
      <c r="O938" s="41" t="str">
        <f t="shared" si="130"/>
        <v>M</v>
      </c>
      <c r="P938" s="60" t="str">
        <f t="shared" si="131"/>
        <v>CAMAD</v>
      </c>
      <c r="Q938" s="61"/>
    </row>
    <row r="939" spans="1:17" ht="13">
      <c r="A939" s="28">
        <v>1323</v>
      </c>
      <c r="B939" s="28">
        <v>133540</v>
      </c>
      <c r="C939" s="129" t="s">
        <v>1269</v>
      </c>
      <c r="D939" s="128" t="s">
        <v>158</v>
      </c>
      <c r="E939" s="128" t="s">
        <v>145</v>
      </c>
      <c r="F939" s="29">
        <v>24000</v>
      </c>
      <c r="G939" s="56" t="str">
        <f t="shared" ca="1" si="132"/>
        <v>V 55</v>
      </c>
      <c r="H939" s="28">
        <f t="shared" ca="1" si="133"/>
        <v>55</v>
      </c>
      <c r="J939" s="38" t="str">
        <f t="shared" si="127"/>
        <v>Dário Abreu</v>
      </c>
      <c r="K939" s="39">
        <f t="shared" si="128"/>
        <v>1323</v>
      </c>
      <c r="L939" s="39">
        <f t="shared" si="129"/>
        <v>133540</v>
      </c>
      <c r="M939" s="40">
        <f t="shared" si="134"/>
        <v>24000</v>
      </c>
      <c r="N939" s="41" t="str">
        <f t="shared" ca="1" si="135"/>
        <v>V 55</v>
      </c>
      <c r="O939" s="41" t="str">
        <f t="shared" si="130"/>
        <v>M</v>
      </c>
      <c r="P939" s="60" t="str">
        <f t="shared" si="131"/>
        <v>CAMAD</v>
      </c>
      <c r="Q939" s="61"/>
    </row>
    <row r="940" spans="1:17" ht="13">
      <c r="A940" s="28">
        <v>1325</v>
      </c>
      <c r="B940" s="28">
        <v>135650</v>
      </c>
      <c r="C940" s="129" t="s">
        <v>1323</v>
      </c>
      <c r="D940" s="128" t="s">
        <v>158</v>
      </c>
      <c r="E940" s="128" t="s">
        <v>145</v>
      </c>
      <c r="F940" s="29">
        <v>24782</v>
      </c>
      <c r="G940" s="56" t="str">
        <f t="shared" ca="1" si="132"/>
        <v>V 50</v>
      </c>
      <c r="H940" s="28">
        <f t="shared" ca="1" si="133"/>
        <v>53</v>
      </c>
      <c r="J940" s="38" t="str">
        <f t="shared" si="127"/>
        <v>Leonardo Diogo</v>
      </c>
      <c r="K940" s="39">
        <f t="shared" si="128"/>
        <v>1325</v>
      </c>
      <c r="L940" s="39">
        <f t="shared" si="129"/>
        <v>135650</v>
      </c>
      <c r="M940" s="40">
        <f t="shared" si="134"/>
        <v>24782</v>
      </c>
      <c r="N940" s="41" t="str">
        <f t="shared" ca="1" si="135"/>
        <v>V 50</v>
      </c>
      <c r="O940" s="41" t="str">
        <f t="shared" si="130"/>
        <v>M</v>
      </c>
      <c r="P940" s="60" t="str">
        <f t="shared" si="131"/>
        <v>CAMAD</v>
      </c>
      <c r="Q940" s="61"/>
    </row>
    <row r="941" spans="1:17" ht="13">
      <c r="A941" s="28">
        <v>91</v>
      </c>
      <c r="B941" s="28">
        <v>140287</v>
      </c>
      <c r="C941" s="129" t="s">
        <v>442</v>
      </c>
      <c r="D941" s="128" t="s">
        <v>158</v>
      </c>
      <c r="E941" s="128" t="s">
        <v>146</v>
      </c>
      <c r="F941" s="29">
        <v>29717</v>
      </c>
      <c r="G941" s="56" t="str">
        <f t="shared" ca="1" si="132"/>
        <v>V 35</v>
      </c>
      <c r="H941" s="28">
        <f t="shared" ca="1" si="133"/>
        <v>39</v>
      </c>
      <c r="J941" s="38" t="str">
        <f t="shared" si="127"/>
        <v>Luana Andreoli</v>
      </c>
      <c r="K941" s="39">
        <f t="shared" si="128"/>
        <v>91</v>
      </c>
      <c r="L941" s="39">
        <f t="shared" si="129"/>
        <v>140287</v>
      </c>
      <c r="M941" s="40">
        <f t="shared" si="134"/>
        <v>29717</v>
      </c>
      <c r="N941" s="41" t="str">
        <f t="shared" ca="1" si="135"/>
        <v>V 35</v>
      </c>
      <c r="O941" s="41" t="str">
        <f t="shared" si="130"/>
        <v>F</v>
      </c>
      <c r="P941" s="60" t="str">
        <f t="shared" si="131"/>
        <v>CAMAD</v>
      </c>
      <c r="Q941" s="61"/>
    </row>
    <row r="942" spans="1:17" ht="13">
      <c r="A942" s="28">
        <v>1331</v>
      </c>
      <c r="B942" s="28">
        <v>134761</v>
      </c>
      <c r="C942" s="129" t="s">
        <v>443</v>
      </c>
      <c r="D942" s="128" t="s">
        <v>158</v>
      </c>
      <c r="E942" s="128" t="s">
        <v>145</v>
      </c>
      <c r="F942" s="29">
        <v>27792</v>
      </c>
      <c r="G942" s="56" t="str">
        <f t="shared" ca="1" si="132"/>
        <v>V 45</v>
      </c>
      <c r="H942" s="28">
        <f t="shared" ca="1" si="133"/>
        <v>45</v>
      </c>
      <c r="J942" s="38" t="str">
        <f t="shared" si="127"/>
        <v>Filipe Mota</v>
      </c>
      <c r="K942" s="39">
        <f t="shared" si="128"/>
        <v>1331</v>
      </c>
      <c r="L942" s="39">
        <f t="shared" si="129"/>
        <v>134761</v>
      </c>
      <c r="M942" s="40">
        <f t="shared" si="134"/>
        <v>27792</v>
      </c>
      <c r="N942" s="41" t="str">
        <f t="shared" ca="1" si="135"/>
        <v>V 45</v>
      </c>
      <c r="O942" s="41" t="str">
        <f t="shared" si="130"/>
        <v>M</v>
      </c>
      <c r="P942" s="60" t="str">
        <f t="shared" si="131"/>
        <v>CAMAD</v>
      </c>
      <c r="Q942" s="61"/>
    </row>
    <row r="943" spans="1:17" ht="13">
      <c r="A943" s="28">
        <v>1327</v>
      </c>
      <c r="B943" s="28">
        <v>130553</v>
      </c>
      <c r="C943" s="129" t="s">
        <v>211</v>
      </c>
      <c r="D943" s="128" t="s">
        <v>158</v>
      </c>
      <c r="E943" s="128" t="s">
        <v>145</v>
      </c>
      <c r="F943" s="29">
        <v>26585</v>
      </c>
      <c r="G943" s="56" t="str">
        <f t="shared" ca="1" si="132"/>
        <v>V 45</v>
      </c>
      <c r="H943" s="28">
        <f t="shared" ca="1" si="133"/>
        <v>48</v>
      </c>
      <c r="J943" s="38" t="str">
        <f t="shared" si="127"/>
        <v>Ricardo Fontes</v>
      </c>
      <c r="K943" s="39">
        <f t="shared" si="128"/>
        <v>1327</v>
      </c>
      <c r="L943" s="39">
        <f t="shared" si="129"/>
        <v>130553</v>
      </c>
      <c r="M943" s="40">
        <f t="shared" si="134"/>
        <v>26585</v>
      </c>
      <c r="N943" s="41" t="str">
        <f t="shared" ca="1" si="135"/>
        <v>V 45</v>
      </c>
      <c r="O943" s="41" t="str">
        <f t="shared" si="130"/>
        <v>M</v>
      </c>
      <c r="P943" s="60" t="str">
        <f t="shared" si="131"/>
        <v>CAMAD</v>
      </c>
      <c r="Q943" s="61"/>
    </row>
    <row r="944" spans="1:17" ht="13">
      <c r="A944" s="28">
        <v>1322</v>
      </c>
      <c r="B944" s="28">
        <v>130868</v>
      </c>
      <c r="C944" s="129" t="s">
        <v>988</v>
      </c>
      <c r="D944" s="128" t="s">
        <v>158</v>
      </c>
      <c r="E944" s="128" t="s">
        <v>145</v>
      </c>
      <c r="F944" s="29">
        <v>22743</v>
      </c>
      <c r="G944" s="56" t="str">
        <f t="shared" ca="1" si="132"/>
        <v>V 55</v>
      </c>
      <c r="H944" s="28">
        <f t="shared" ca="1" si="133"/>
        <v>59</v>
      </c>
      <c r="J944" s="38" t="str">
        <f t="shared" si="127"/>
        <v>Sidónio Cabral</v>
      </c>
      <c r="K944" s="39">
        <f t="shared" si="128"/>
        <v>1322</v>
      </c>
      <c r="L944" s="39">
        <f t="shared" si="129"/>
        <v>130868</v>
      </c>
      <c r="M944" s="40">
        <f t="shared" si="134"/>
        <v>22743</v>
      </c>
      <c r="N944" s="41" t="str">
        <f t="shared" ca="1" si="135"/>
        <v>V 55</v>
      </c>
      <c r="O944" s="41" t="str">
        <f t="shared" si="130"/>
        <v>M</v>
      </c>
      <c r="P944" s="60" t="str">
        <f t="shared" si="131"/>
        <v>CAMAD</v>
      </c>
      <c r="Q944" s="61"/>
    </row>
    <row r="945" spans="1:17" ht="13">
      <c r="A945" s="28">
        <v>1469</v>
      </c>
      <c r="B945" s="28">
        <v>157908</v>
      </c>
      <c r="C945" s="129" t="s">
        <v>1194</v>
      </c>
      <c r="D945" s="128" t="s">
        <v>97</v>
      </c>
      <c r="E945" s="128" t="s">
        <v>145</v>
      </c>
      <c r="F945" s="29">
        <v>30627</v>
      </c>
      <c r="G945" s="56" t="str">
        <f t="shared" ca="1" si="132"/>
        <v>V 35</v>
      </c>
      <c r="H945" s="28">
        <f t="shared" ca="1" si="133"/>
        <v>37</v>
      </c>
      <c r="J945" s="38" t="str">
        <f t="shared" si="127"/>
        <v>José Figueira</v>
      </c>
      <c r="K945" s="39">
        <f t="shared" si="128"/>
        <v>1469</v>
      </c>
      <c r="L945" s="39">
        <f t="shared" si="129"/>
        <v>157908</v>
      </c>
      <c r="M945" s="40">
        <f t="shared" si="134"/>
        <v>30627</v>
      </c>
      <c r="N945" s="41" t="str">
        <f t="shared" ca="1" si="135"/>
        <v>V 35</v>
      </c>
      <c r="O945" s="41" t="str">
        <f t="shared" si="130"/>
        <v>M</v>
      </c>
      <c r="P945" s="60" t="str">
        <f t="shared" si="131"/>
        <v>ADRAP</v>
      </c>
      <c r="Q945" s="61"/>
    </row>
    <row r="946" spans="1:17" ht="13">
      <c r="A946" s="28">
        <v>1745</v>
      </c>
      <c r="B946" s="28">
        <v>130410</v>
      </c>
      <c r="C946" s="129" t="s">
        <v>1322</v>
      </c>
      <c r="D946" s="128" t="s">
        <v>97</v>
      </c>
      <c r="E946" s="128" t="s">
        <v>145</v>
      </c>
      <c r="F946" s="29">
        <v>37700</v>
      </c>
      <c r="G946" s="56" t="str">
        <f t="shared" ca="1" si="132"/>
        <v>Júnior</v>
      </c>
      <c r="H946" s="28">
        <f t="shared" ca="1" si="133"/>
        <v>18</v>
      </c>
      <c r="J946" s="38" t="str">
        <f t="shared" si="127"/>
        <v>Eduardo Silva</v>
      </c>
      <c r="K946" s="39">
        <f t="shared" si="128"/>
        <v>1745</v>
      </c>
      <c r="L946" s="39">
        <f t="shared" si="129"/>
        <v>130410</v>
      </c>
      <c r="M946" s="40">
        <f t="shared" si="134"/>
        <v>37700</v>
      </c>
      <c r="N946" s="41" t="str">
        <f t="shared" ca="1" si="135"/>
        <v>Júnior</v>
      </c>
      <c r="O946" s="41" t="str">
        <f t="shared" si="130"/>
        <v>M</v>
      </c>
      <c r="P946" s="60" t="str">
        <f t="shared" si="131"/>
        <v>ADRAP</v>
      </c>
      <c r="Q946" s="61"/>
    </row>
    <row r="947" spans="1:17" ht="13">
      <c r="A947" s="28">
        <v>1488</v>
      </c>
      <c r="B947" s="28">
        <v>148963</v>
      </c>
      <c r="C947" s="129" t="s">
        <v>763</v>
      </c>
      <c r="D947" s="128" t="s">
        <v>97</v>
      </c>
      <c r="E947" s="128" t="s">
        <v>145</v>
      </c>
      <c r="F947" s="29">
        <v>31651</v>
      </c>
      <c r="G947" s="56" t="str">
        <f t="shared" ca="1" si="132"/>
        <v>Sénior</v>
      </c>
      <c r="H947" s="28">
        <f t="shared" ca="1" si="133"/>
        <v>34</v>
      </c>
      <c r="J947" s="38" t="str">
        <f t="shared" si="127"/>
        <v>Décio Carreira</v>
      </c>
      <c r="K947" s="39">
        <f t="shared" si="128"/>
        <v>1488</v>
      </c>
      <c r="L947" s="39">
        <f t="shared" si="129"/>
        <v>148963</v>
      </c>
      <c r="M947" s="40">
        <f t="shared" si="134"/>
        <v>31651</v>
      </c>
      <c r="N947" s="41" t="str">
        <f t="shared" ca="1" si="135"/>
        <v>Sénior</v>
      </c>
      <c r="O947" s="41" t="str">
        <f t="shared" si="130"/>
        <v>M</v>
      </c>
      <c r="P947" s="60" t="str">
        <f t="shared" si="131"/>
        <v>ADRAP</v>
      </c>
      <c r="Q947" s="61"/>
    </row>
    <row r="948" spans="1:17" ht="13">
      <c r="A948" s="28">
        <v>1462</v>
      </c>
      <c r="B948" s="28">
        <v>126349</v>
      </c>
      <c r="C948" s="129" t="s">
        <v>1593</v>
      </c>
      <c r="D948" s="128" t="s">
        <v>97</v>
      </c>
      <c r="E948" s="128" t="s">
        <v>145</v>
      </c>
      <c r="F948" s="29">
        <v>26605</v>
      </c>
      <c r="G948" s="56" t="str">
        <f t="shared" ca="1" si="132"/>
        <v>V 45</v>
      </c>
      <c r="H948" s="28">
        <f t="shared" ca="1" si="133"/>
        <v>48</v>
      </c>
      <c r="J948" s="38" t="str">
        <f t="shared" si="127"/>
        <v>Bruno D. Fernandes</v>
      </c>
      <c r="K948" s="39">
        <f t="shared" si="128"/>
        <v>1462</v>
      </c>
      <c r="L948" s="39">
        <f t="shared" si="129"/>
        <v>126349</v>
      </c>
      <c r="M948" s="40">
        <f t="shared" si="134"/>
        <v>26605</v>
      </c>
      <c r="N948" s="41" t="str">
        <f t="shared" ca="1" si="135"/>
        <v>V 45</v>
      </c>
      <c r="O948" s="41" t="str">
        <f t="shared" si="130"/>
        <v>M</v>
      </c>
      <c r="P948" s="60" t="str">
        <f t="shared" si="131"/>
        <v>ADRAP</v>
      </c>
      <c r="Q948" s="61"/>
    </row>
    <row r="949" spans="1:17" ht="13">
      <c r="A949" s="28">
        <v>1487</v>
      </c>
      <c r="B949" s="28">
        <v>139629</v>
      </c>
      <c r="C949" s="129" t="s">
        <v>1599</v>
      </c>
      <c r="D949" s="128" t="s">
        <v>97</v>
      </c>
      <c r="E949" s="128" t="s">
        <v>145</v>
      </c>
      <c r="F949" s="29">
        <v>34137</v>
      </c>
      <c r="G949" s="56" t="str">
        <f t="shared" ca="1" si="132"/>
        <v>Sénior</v>
      </c>
      <c r="H949" s="28">
        <f t="shared" ca="1" si="133"/>
        <v>27</v>
      </c>
      <c r="J949" s="38" t="str">
        <f t="shared" si="127"/>
        <v>Pedro Barbosa</v>
      </c>
      <c r="K949" s="39">
        <f t="shared" si="128"/>
        <v>1487</v>
      </c>
      <c r="L949" s="39">
        <f t="shared" si="129"/>
        <v>139629</v>
      </c>
      <c r="M949" s="40">
        <f t="shared" si="134"/>
        <v>34137</v>
      </c>
      <c r="N949" s="41" t="str">
        <f t="shared" ca="1" si="135"/>
        <v>Sénior</v>
      </c>
      <c r="O949" s="41" t="str">
        <f t="shared" si="130"/>
        <v>M</v>
      </c>
      <c r="P949" s="60" t="str">
        <f t="shared" si="131"/>
        <v>ADRAP</v>
      </c>
      <c r="Q949" s="61"/>
    </row>
    <row r="950" spans="1:17" ht="13">
      <c r="A950" s="28">
        <v>24</v>
      </c>
      <c r="B950" s="28">
        <v>149832</v>
      </c>
      <c r="C950" s="129" t="s">
        <v>1320</v>
      </c>
      <c r="D950" s="128" t="s">
        <v>97</v>
      </c>
      <c r="E950" s="128" t="s">
        <v>146</v>
      </c>
      <c r="F950" s="29">
        <v>32760</v>
      </c>
      <c r="G950" s="56" t="str">
        <f t="shared" ca="1" si="132"/>
        <v>Sénior</v>
      </c>
      <c r="H950" s="28">
        <f t="shared" ca="1" si="133"/>
        <v>31</v>
      </c>
      <c r="J950" s="38" t="str">
        <f t="shared" si="127"/>
        <v>Joana Costa</v>
      </c>
      <c r="K950" s="39">
        <f t="shared" si="128"/>
        <v>24</v>
      </c>
      <c r="L950" s="39">
        <f t="shared" si="129"/>
        <v>149832</v>
      </c>
      <c r="M950" s="40">
        <f t="shared" si="134"/>
        <v>32760</v>
      </c>
      <c r="N950" s="41" t="str">
        <f t="shared" ca="1" si="135"/>
        <v>Sénior</v>
      </c>
      <c r="O950" s="41" t="str">
        <f t="shared" si="130"/>
        <v>F</v>
      </c>
      <c r="P950" s="60" t="str">
        <f t="shared" si="131"/>
        <v>ADRAP</v>
      </c>
      <c r="Q950" s="61"/>
    </row>
    <row r="951" spans="1:17" ht="13">
      <c r="A951" s="28">
        <v>29</v>
      </c>
      <c r="B951" s="28">
        <v>129613</v>
      </c>
      <c r="C951" s="129" t="s">
        <v>316</v>
      </c>
      <c r="D951" s="128" t="s">
        <v>97</v>
      </c>
      <c r="E951" s="128" t="s">
        <v>146</v>
      </c>
      <c r="F951" s="29">
        <v>28435</v>
      </c>
      <c r="G951" s="56" t="str">
        <f t="shared" ca="1" si="132"/>
        <v>V 40</v>
      </c>
      <c r="H951" s="28">
        <f t="shared" ca="1" si="133"/>
        <v>43</v>
      </c>
      <c r="J951" s="38" t="str">
        <f t="shared" si="127"/>
        <v>Josefina Caires</v>
      </c>
      <c r="K951" s="39">
        <f t="shared" si="128"/>
        <v>29</v>
      </c>
      <c r="L951" s="39">
        <f t="shared" si="129"/>
        <v>129613</v>
      </c>
      <c r="M951" s="40">
        <f t="shared" si="134"/>
        <v>28435</v>
      </c>
      <c r="N951" s="41" t="str">
        <f t="shared" ca="1" si="135"/>
        <v>V 40</v>
      </c>
      <c r="O951" s="41" t="str">
        <f t="shared" si="130"/>
        <v>F</v>
      </c>
      <c r="P951" s="60" t="str">
        <f t="shared" si="131"/>
        <v>ADRAP</v>
      </c>
      <c r="Q951" s="61"/>
    </row>
    <row r="952" spans="1:17" ht="13">
      <c r="A952" s="28">
        <v>1486</v>
      </c>
      <c r="B952" s="28">
        <v>154475</v>
      </c>
      <c r="C952" s="129" t="s">
        <v>983</v>
      </c>
      <c r="D952" s="128" t="s">
        <v>97</v>
      </c>
      <c r="E952" s="128" t="s">
        <v>145</v>
      </c>
      <c r="F952" s="29">
        <v>31671</v>
      </c>
      <c r="G952" s="56" t="str">
        <f t="shared" ca="1" si="132"/>
        <v>Sénior</v>
      </c>
      <c r="H952" s="28">
        <f t="shared" ca="1" si="133"/>
        <v>34</v>
      </c>
      <c r="J952" s="38" t="str">
        <f t="shared" si="127"/>
        <v>Rúben Mendonça</v>
      </c>
      <c r="K952" s="39">
        <f t="shared" si="128"/>
        <v>1486</v>
      </c>
      <c r="L952" s="39">
        <f t="shared" si="129"/>
        <v>154475</v>
      </c>
      <c r="M952" s="40">
        <f t="shared" si="134"/>
        <v>31671</v>
      </c>
      <c r="N952" s="41" t="str">
        <f t="shared" ca="1" si="135"/>
        <v>Sénior</v>
      </c>
      <c r="O952" s="41" t="str">
        <f t="shared" si="130"/>
        <v>M</v>
      </c>
      <c r="P952" s="60" t="str">
        <f t="shared" si="131"/>
        <v>ADRAP</v>
      </c>
      <c r="Q952" s="61"/>
    </row>
    <row r="953" spans="1:17" ht="13">
      <c r="A953" s="28">
        <v>1466</v>
      </c>
      <c r="B953" s="28">
        <v>162797</v>
      </c>
      <c r="C953" s="129" t="s">
        <v>1598</v>
      </c>
      <c r="D953" s="128" t="s">
        <v>97</v>
      </c>
      <c r="E953" s="128" t="s">
        <v>145</v>
      </c>
      <c r="F953" s="29">
        <v>28830</v>
      </c>
      <c r="G953" s="56" t="str">
        <f t="shared" ca="1" si="132"/>
        <v>V 40</v>
      </c>
      <c r="H953" s="28">
        <f t="shared" ca="1" si="133"/>
        <v>42</v>
      </c>
      <c r="J953" s="38" t="str">
        <f t="shared" si="127"/>
        <v>Nuno Lourenço</v>
      </c>
      <c r="K953" s="39">
        <f t="shared" si="128"/>
        <v>1466</v>
      </c>
      <c r="L953" s="39">
        <f t="shared" si="129"/>
        <v>162797</v>
      </c>
      <c r="M953" s="40">
        <f t="shared" si="134"/>
        <v>28830</v>
      </c>
      <c r="N953" s="41" t="str">
        <f t="shared" ca="1" si="135"/>
        <v>V 40</v>
      </c>
      <c r="O953" s="41" t="str">
        <f t="shared" si="130"/>
        <v>M</v>
      </c>
      <c r="P953" s="60" t="str">
        <f t="shared" si="131"/>
        <v>ADRAP</v>
      </c>
      <c r="Q953" s="61"/>
    </row>
    <row r="954" spans="1:17" ht="13">
      <c r="A954" s="28">
        <v>1457</v>
      </c>
      <c r="B954" s="28">
        <v>151369</v>
      </c>
      <c r="C954" s="129" t="s">
        <v>798</v>
      </c>
      <c r="D954" s="128" t="s">
        <v>97</v>
      </c>
      <c r="E954" s="128" t="s">
        <v>145</v>
      </c>
      <c r="F954" s="29">
        <v>24591</v>
      </c>
      <c r="G954" s="56" t="str">
        <f t="shared" ca="1" si="132"/>
        <v>V 50</v>
      </c>
      <c r="H954" s="28">
        <f t="shared" ca="1" si="133"/>
        <v>53</v>
      </c>
      <c r="J954" s="38" t="str">
        <f t="shared" si="127"/>
        <v>Gonçalo Nuno</v>
      </c>
      <c r="K954" s="39">
        <f t="shared" si="128"/>
        <v>1457</v>
      </c>
      <c r="L954" s="39">
        <f t="shared" si="129"/>
        <v>151369</v>
      </c>
      <c r="M954" s="40">
        <f t="shared" si="134"/>
        <v>24591</v>
      </c>
      <c r="N954" s="41" t="str">
        <f t="shared" ca="1" si="135"/>
        <v>V 50</v>
      </c>
      <c r="O954" s="41" t="str">
        <f t="shared" si="130"/>
        <v>M</v>
      </c>
      <c r="P954" s="60" t="str">
        <f t="shared" si="131"/>
        <v>ADRAP</v>
      </c>
      <c r="Q954" s="61"/>
    </row>
    <row r="955" spans="1:17" ht="13">
      <c r="A955" s="28">
        <v>1461</v>
      </c>
      <c r="B955" s="28">
        <v>152301</v>
      </c>
      <c r="C955" s="129" t="s">
        <v>867</v>
      </c>
      <c r="D955" s="128" t="s">
        <v>97</v>
      </c>
      <c r="E955" s="128" t="s">
        <v>145</v>
      </c>
      <c r="F955" s="29">
        <v>25944</v>
      </c>
      <c r="G955" s="56" t="str">
        <f t="shared" ca="1" si="132"/>
        <v>V 50</v>
      </c>
      <c r="H955" s="28">
        <f t="shared" ca="1" si="133"/>
        <v>50</v>
      </c>
      <c r="J955" s="38" t="str">
        <f t="shared" si="127"/>
        <v>Bruno Ferreira</v>
      </c>
      <c r="K955" s="39">
        <f t="shared" si="128"/>
        <v>1461</v>
      </c>
      <c r="L955" s="39">
        <f t="shared" si="129"/>
        <v>152301</v>
      </c>
      <c r="M955" s="40">
        <f t="shared" si="134"/>
        <v>25944</v>
      </c>
      <c r="N955" s="41" t="str">
        <f t="shared" ca="1" si="135"/>
        <v>V 50</v>
      </c>
      <c r="O955" s="41" t="str">
        <f t="shared" si="130"/>
        <v>M</v>
      </c>
      <c r="P955" s="60" t="str">
        <f t="shared" si="131"/>
        <v>ADRAP</v>
      </c>
      <c r="Q955" s="61"/>
    </row>
    <row r="956" spans="1:17" ht="13">
      <c r="A956" s="28">
        <v>1465</v>
      </c>
      <c r="B956" s="28">
        <v>142732</v>
      </c>
      <c r="C956" s="129" t="s">
        <v>984</v>
      </c>
      <c r="D956" s="128" t="s">
        <v>97</v>
      </c>
      <c r="E956" s="128" t="s">
        <v>145</v>
      </c>
      <c r="F956" s="29">
        <v>29118</v>
      </c>
      <c r="G956" s="56" t="str">
        <f t="shared" ca="1" si="132"/>
        <v>V 40</v>
      </c>
      <c r="H956" s="28">
        <f t="shared" ca="1" si="133"/>
        <v>41</v>
      </c>
      <c r="J956" s="38" t="str">
        <f t="shared" si="127"/>
        <v>Jimmy Coelho</v>
      </c>
      <c r="K956" s="39">
        <f t="shared" si="128"/>
        <v>1465</v>
      </c>
      <c r="L956" s="39">
        <f t="shared" si="129"/>
        <v>142732</v>
      </c>
      <c r="M956" s="40">
        <f t="shared" si="134"/>
        <v>29118</v>
      </c>
      <c r="N956" s="41" t="str">
        <f t="shared" ca="1" si="135"/>
        <v>V 40</v>
      </c>
      <c r="O956" s="41" t="str">
        <f t="shared" si="130"/>
        <v>M</v>
      </c>
      <c r="P956" s="60" t="str">
        <f t="shared" si="131"/>
        <v>ADRAP</v>
      </c>
      <c r="Q956" s="61"/>
    </row>
    <row r="957" spans="1:17" ht="13">
      <c r="A957" s="28">
        <v>1460</v>
      </c>
      <c r="B957" s="28">
        <v>163553</v>
      </c>
      <c r="C957" s="129" t="s">
        <v>1595</v>
      </c>
      <c r="D957" s="128" t="s">
        <v>97</v>
      </c>
      <c r="E957" s="128" t="s">
        <v>145</v>
      </c>
      <c r="F957" s="29">
        <v>27350</v>
      </c>
      <c r="G957" s="56" t="str">
        <f t="shared" ca="1" si="132"/>
        <v>V 45</v>
      </c>
      <c r="H957" s="28">
        <f t="shared" ca="1" si="133"/>
        <v>46</v>
      </c>
      <c r="J957" s="38" t="str">
        <f t="shared" si="127"/>
        <v>José Câmara</v>
      </c>
      <c r="K957" s="39">
        <f t="shared" si="128"/>
        <v>1460</v>
      </c>
      <c r="L957" s="39">
        <f t="shared" si="129"/>
        <v>163553</v>
      </c>
      <c r="M957" s="40">
        <f t="shared" si="134"/>
        <v>27350</v>
      </c>
      <c r="N957" s="41" t="str">
        <f t="shared" ca="1" si="135"/>
        <v>V 45</v>
      </c>
      <c r="O957" s="41" t="str">
        <f t="shared" si="130"/>
        <v>M</v>
      </c>
      <c r="P957" s="60" t="str">
        <f t="shared" si="131"/>
        <v>ADRAP</v>
      </c>
      <c r="Q957" s="61"/>
    </row>
    <row r="958" spans="1:17" ht="13">
      <c r="A958" s="28">
        <v>871</v>
      </c>
      <c r="B958" s="28">
        <v>163528</v>
      </c>
      <c r="C958" s="129" t="s">
        <v>1474</v>
      </c>
      <c r="D958" s="128" t="s">
        <v>150</v>
      </c>
      <c r="E958" s="128" t="s">
        <v>145</v>
      </c>
      <c r="F958" s="29">
        <v>20264</v>
      </c>
      <c r="G958" s="56" t="str">
        <f t="shared" ca="1" si="132"/>
        <v>V 65</v>
      </c>
      <c r="H958" s="28">
        <f t="shared" ca="1" si="133"/>
        <v>65</v>
      </c>
      <c r="J958" s="38" t="str">
        <f t="shared" si="127"/>
        <v>Poncin Patrick</v>
      </c>
      <c r="K958" s="39">
        <f t="shared" si="128"/>
        <v>871</v>
      </c>
      <c r="L958" s="39">
        <f t="shared" si="129"/>
        <v>163528</v>
      </c>
      <c r="M958" s="40">
        <f t="shared" si="134"/>
        <v>20264</v>
      </c>
      <c r="N958" s="41" t="str">
        <f t="shared" ca="1" si="135"/>
        <v>V 65</v>
      </c>
      <c r="O958" s="41" t="str">
        <f t="shared" si="130"/>
        <v>M</v>
      </c>
      <c r="P958" s="60" t="str">
        <f t="shared" si="131"/>
        <v>CMOF</v>
      </c>
      <c r="Q958" s="61"/>
    </row>
    <row r="959" spans="1:17" ht="13">
      <c r="A959" s="28">
        <v>1122</v>
      </c>
      <c r="B959" s="28">
        <v>153703</v>
      </c>
      <c r="C959" s="129" t="s">
        <v>1475</v>
      </c>
      <c r="D959" s="128" t="s">
        <v>150</v>
      </c>
      <c r="E959" s="128" t="s">
        <v>145</v>
      </c>
      <c r="F959" s="29">
        <v>30737</v>
      </c>
      <c r="G959" s="56" t="str">
        <f t="shared" ca="1" si="132"/>
        <v>V 35</v>
      </c>
      <c r="H959" s="28">
        <f t="shared" ca="1" si="133"/>
        <v>37</v>
      </c>
      <c r="J959" s="38" t="str">
        <f t="shared" si="127"/>
        <v>José Emanuel Freitas</v>
      </c>
      <c r="K959" s="39">
        <f t="shared" si="128"/>
        <v>1122</v>
      </c>
      <c r="L959" s="39">
        <f t="shared" si="129"/>
        <v>153703</v>
      </c>
      <c r="M959" s="40">
        <f t="shared" si="134"/>
        <v>30737</v>
      </c>
      <c r="N959" s="41" t="str">
        <f t="shared" ca="1" si="135"/>
        <v>V 35</v>
      </c>
      <c r="O959" s="41" t="str">
        <f t="shared" si="130"/>
        <v>M</v>
      </c>
      <c r="P959" s="60" t="str">
        <f t="shared" si="131"/>
        <v>CMOF</v>
      </c>
      <c r="Q959" s="61"/>
    </row>
    <row r="960" spans="1:17" ht="13">
      <c r="A960" s="28">
        <v>169</v>
      </c>
      <c r="B960" s="28">
        <v>156680</v>
      </c>
      <c r="C960" s="129" t="s">
        <v>1328</v>
      </c>
      <c r="D960" s="128" t="s">
        <v>150</v>
      </c>
      <c r="E960" s="128" t="s">
        <v>146</v>
      </c>
      <c r="F960" s="29">
        <v>28764</v>
      </c>
      <c r="G960" s="56" t="str">
        <f t="shared" ca="1" si="132"/>
        <v>V 40</v>
      </c>
      <c r="H960" s="28">
        <f t="shared" ca="1" si="133"/>
        <v>42</v>
      </c>
      <c r="J960" s="38" t="str">
        <f t="shared" si="127"/>
        <v>Sónia P. Freitas</v>
      </c>
      <c r="K960" s="39">
        <f t="shared" si="128"/>
        <v>169</v>
      </c>
      <c r="L960" s="39">
        <f t="shared" si="129"/>
        <v>156680</v>
      </c>
      <c r="M960" s="40">
        <f t="shared" si="134"/>
        <v>28764</v>
      </c>
      <c r="N960" s="41" t="str">
        <f t="shared" ca="1" si="135"/>
        <v>V 40</v>
      </c>
      <c r="O960" s="41" t="str">
        <f t="shared" si="130"/>
        <v>F</v>
      </c>
      <c r="P960" s="60" t="str">
        <f t="shared" si="131"/>
        <v>CMOF</v>
      </c>
      <c r="Q960" s="61"/>
    </row>
    <row r="961" spans="1:17" ht="13">
      <c r="A961" s="28">
        <v>1091</v>
      </c>
      <c r="B961" s="28">
        <v>126040</v>
      </c>
      <c r="C961" s="129" t="s">
        <v>899</v>
      </c>
      <c r="D961" s="128" t="s">
        <v>150</v>
      </c>
      <c r="E961" s="128" t="s">
        <v>145</v>
      </c>
      <c r="F961" s="29">
        <v>23738</v>
      </c>
      <c r="G961" s="56" t="str">
        <f t="shared" ca="1" si="132"/>
        <v>V 55</v>
      </c>
      <c r="H961" s="28">
        <f t="shared" ca="1" si="133"/>
        <v>56</v>
      </c>
      <c r="J961" s="38" t="str">
        <f t="shared" si="127"/>
        <v>José Luís Silva</v>
      </c>
      <c r="K961" s="39">
        <f t="shared" si="128"/>
        <v>1091</v>
      </c>
      <c r="L961" s="39">
        <f t="shared" si="129"/>
        <v>126040</v>
      </c>
      <c r="M961" s="40">
        <f t="shared" si="134"/>
        <v>23738</v>
      </c>
      <c r="N961" s="41" t="str">
        <f t="shared" ca="1" si="135"/>
        <v>V 55</v>
      </c>
      <c r="O961" s="41" t="str">
        <f t="shared" si="130"/>
        <v>M</v>
      </c>
      <c r="P961" s="60" t="str">
        <f t="shared" si="131"/>
        <v>CMOF</v>
      </c>
      <c r="Q961" s="61"/>
    </row>
    <row r="962" spans="1:17" ht="13">
      <c r="A962" s="28">
        <v>1096</v>
      </c>
      <c r="B962" s="28">
        <v>155143</v>
      </c>
      <c r="C962" s="129" t="s">
        <v>1288</v>
      </c>
      <c r="D962" s="128" t="s">
        <v>150</v>
      </c>
      <c r="E962" s="128" t="s">
        <v>145</v>
      </c>
      <c r="F962" s="29">
        <v>25353</v>
      </c>
      <c r="G962" s="56" t="str">
        <f t="shared" ca="1" si="132"/>
        <v>V 50</v>
      </c>
      <c r="H962" s="28">
        <f t="shared" ca="1" si="133"/>
        <v>51</v>
      </c>
      <c r="J962" s="38" t="str">
        <f t="shared" ref="J962:J1025" si="136">C962</f>
        <v>Miguel N. Henriques</v>
      </c>
      <c r="K962" s="39">
        <f t="shared" ref="K962:K1025" si="137">A962</f>
        <v>1096</v>
      </c>
      <c r="L962" s="39">
        <f t="shared" ref="L962:L1025" si="138">B962</f>
        <v>155143</v>
      </c>
      <c r="M962" s="40">
        <f t="shared" si="134"/>
        <v>25353</v>
      </c>
      <c r="N962" s="41" t="str">
        <f t="shared" ca="1" si="135"/>
        <v>V 50</v>
      </c>
      <c r="O962" s="41" t="str">
        <f t="shared" ref="O962:O1025" si="139">E962</f>
        <v>M</v>
      </c>
      <c r="P962" s="60" t="str">
        <f t="shared" ref="P962:P1025" si="140">D962</f>
        <v>CMOF</v>
      </c>
      <c r="Q962" s="61"/>
    </row>
    <row r="963" spans="1:17" ht="13">
      <c r="A963" s="28">
        <v>170</v>
      </c>
      <c r="B963" s="28">
        <v>127986</v>
      </c>
      <c r="C963" s="129" t="s">
        <v>931</v>
      </c>
      <c r="D963" s="128" t="s">
        <v>150</v>
      </c>
      <c r="E963" s="128" t="s">
        <v>146</v>
      </c>
      <c r="F963" s="29">
        <v>29045</v>
      </c>
      <c r="G963" s="5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B",IF(YEAR(TODAY())-YEAR(F963)&lt;14,"Infantil",IF(YEAR(TODAY())-YEAR(F963)&lt;16,"Iniciado",IF(YEAR(TODAY())-YEAR(F963)&lt;18,"Juvenil",IF(YEAR(TODAY())-YEAR(F963)&lt;20,"Júnior",IF(YEAR(TODAY())-YEAR(F963)&lt;23,"sub 23",IF(ROUNDDOWN(INT(TODAY()-F963)/365.25,0)&lt;35,"Sénior",IF(ROUNDDOWN(INT(TODAY()-F963)/365.25,0)&lt;40,"V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65",IF(ROUNDDOWN(INT(TODAY()-F963)/365.25,0)&lt;75,"V 70",IF(ROUNDDOWN(INT(TODAY()-F963)/365.25,0)&lt;80,"V 75",IF(ROUNDDOWN(INT(TODAY()-F963)/365.25,0)&lt;85,"V 80",IF(ROUNDDOWN(INT(TODAY()-F963)/365.25,0)&lt;90,"V 85",IF(ROUNDDOWN(INT(TODAY()-F963)/365.25,0)&lt;95,"V 90",IF(ROUNDDOWN(INT(TODAY()-F963)/365.25,0)&lt;100,"V 95",IF(ROUNDDOWN(INT(TODAY()-F963)/365.25,0)&gt;=100,"V 100",""))))))))))))))))))))))),"")</f>
        <v>V 40</v>
      </c>
      <c r="H963" s="28">
        <f t="shared" ref="H963:H1026" ca="1" si="142">IFERROR(IF($A963&gt;0,ROUNDDOWN(INT(TODAY()-F963)/365.25,0),""),"")</f>
        <v>41</v>
      </c>
      <c r="J963" s="38" t="str">
        <f t="shared" si="136"/>
        <v>Micaela Martins</v>
      </c>
      <c r="K963" s="39">
        <f t="shared" si="137"/>
        <v>170</v>
      </c>
      <c r="L963" s="39">
        <f t="shared" si="138"/>
        <v>127986</v>
      </c>
      <c r="M963" s="40">
        <f t="shared" ref="M963:M1026" si="143">F963</f>
        <v>29045</v>
      </c>
      <c r="N963" s="41" t="str">
        <f t="shared" ref="N963:N1026" ca="1" si="144">G963</f>
        <v>V 40</v>
      </c>
      <c r="O963" s="41" t="str">
        <f t="shared" si="139"/>
        <v>F</v>
      </c>
      <c r="P963" s="60" t="str">
        <f t="shared" si="140"/>
        <v>CMOF</v>
      </c>
      <c r="Q963" s="61"/>
    </row>
    <row r="964" spans="1:17" ht="13">
      <c r="A964" s="28">
        <v>1108</v>
      </c>
      <c r="B964" s="28">
        <v>126970</v>
      </c>
      <c r="C964" s="129" t="s">
        <v>1174</v>
      </c>
      <c r="D964" s="128" t="s">
        <v>150</v>
      </c>
      <c r="E964" s="128" t="s">
        <v>145</v>
      </c>
      <c r="F964" s="29">
        <v>28524</v>
      </c>
      <c r="G964" s="56" t="str">
        <f t="shared" ca="1" si="141"/>
        <v>V 40</v>
      </c>
      <c r="H964" s="28">
        <f t="shared" ca="1" si="142"/>
        <v>43</v>
      </c>
      <c r="J964" s="38" t="str">
        <f t="shared" si="136"/>
        <v>Ricardo Silva</v>
      </c>
      <c r="K964" s="39">
        <f t="shared" si="137"/>
        <v>1108</v>
      </c>
      <c r="L964" s="39">
        <f t="shared" si="138"/>
        <v>126970</v>
      </c>
      <c r="M964" s="40">
        <f t="shared" si="143"/>
        <v>28524</v>
      </c>
      <c r="N964" s="41" t="str">
        <f t="shared" ca="1" si="144"/>
        <v>V 40</v>
      </c>
      <c r="O964" s="41" t="str">
        <f t="shared" si="139"/>
        <v>M</v>
      </c>
      <c r="P964" s="60" t="str">
        <f t="shared" si="140"/>
        <v>CMOF</v>
      </c>
      <c r="Q964" s="61"/>
    </row>
    <row r="965" spans="1:17" ht="13">
      <c r="A965" s="28">
        <v>1099</v>
      </c>
      <c r="B965" s="28">
        <v>126075</v>
      </c>
      <c r="C965" s="129" t="s">
        <v>560</v>
      </c>
      <c r="D965" s="128" t="s">
        <v>150</v>
      </c>
      <c r="E965" s="128" t="s">
        <v>145</v>
      </c>
      <c r="F965" s="29">
        <v>27305</v>
      </c>
      <c r="G965" s="56" t="str">
        <f t="shared" ca="1" si="141"/>
        <v>V 45</v>
      </c>
      <c r="H965" s="28">
        <f t="shared" ca="1" si="142"/>
        <v>46</v>
      </c>
      <c r="J965" s="38" t="str">
        <f t="shared" si="136"/>
        <v>Vítor Sousa</v>
      </c>
      <c r="K965" s="39">
        <f t="shared" si="137"/>
        <v>1099</v>
      </c>
      <c r="L965" s="39">
        <f t="shared" si="138"/>
        <v>126075</v>
      </c>
      <c r="M965" s="40">
        <f t="shared" si="143"/>
        <v>27305</v>
      </c>
      <c r="N965" s="41" t="str">
        <f t="shared" ca="1" si="144"/>
        <v>V 45</v>
      </c>
      <c r="O965" s="41" t="str">
        <f t="shared" si="139"/>
        <v>M</v>
      </c>
      <c r="P965" s="60" t="str">
        <f t="shared" si="140"/>
        <v>CMOF</v>
      </c>
      <c r="Q965" s="61"/>
    </row>
    <row r="966" spans="1:17" ht="13">
      <c r="A966" s="28">
        <v>244</v>
      </c>
      <c r="B966" s="28">
        <v>163098</v>
      </c>
      <c r="C966" s="129" t="s">
        <v>1492</v>
      </c>
      <c r="D966" s="128" t="s">
        <v>148</v>
      </c>
      <c r="E966" s="128" t="s">
        <v>146</v>
      </c>
      <c r="F966" s="29">
        <v>29215</v>
      </c>
      <c r="G966" s="56" t="str">
        <f t="shared" ca="1" si="141"/>
        <v>V 40</v>
      </c>
      <c r="H966" s="28">
        <f t="shared" ca="1" si="142"/>
        <v>41</v>
      </c>
      <c r="J966" s="38" t="str">
        <f t="shared" si="136"/>
        <v>Tânia P. Nascimento</v>
      </c>
      <c r="K966" s="39">
        <f t="shared" si="137"/>
        <v>244</v>
      </c>
      <c r="L966" s="39">
        <f t="shared" si="138"/>
        <v>163098</v>
      </c>
      <c r="M966" s="40">
        <f t="shared" si="143"/>
        <v>29215</v>
      </c>
      <c r="N966" s="41" t="str">
        <f t="shared" ca="1" si="144"/>
        <v>V 40</v>
      </c>
      <c r="O966" s="41" t="str">
        <f t="shared" si="139"/>
        <v>F</v>
      </c>
      <c r="P966" s="60" t="str">
        <f t="shared" si="140"/>
        <v>IND-M</v>
      </c>
      <c r="Q966" s="61"/>
    </row>
    <row r="967" spans="1:17" ht="13">
      <c r="A967" s="28">
        <v>883</v>
      </c>
      <c r="B967" s="28">
        <v>125364</v>
      </c>
      <c r="C967" s="129" t="s">
        <v>539</v>
      </c>
      <c r="D967" s="128" t="s">
        <v>671</v>
      </c>
      <c r="E967" s="128" t="s">
        <v>145</v>
      </c>
      <c r="F967" s="29">
        <v>22607</v>
      </c>
      <c r="G967" s="56" t="str">
        <f t="shared" ca="1" si="141"/>
        <v>V 55</v>
      </c>
      <c r="H967" s="28">
        <f t="shared" ca="1" si="142"/>
        <v>59</v>
      </c>
      <c r="J967" s="38" t="str">
        <f t="shared" si="136"/>
        <v>Jorge Mendes</v>
      </c>
      <c r="K967" s="39">
        <f t="shared" si="137"/>
        <v>883</v>
      </c>
      <c r="L967" s="39">
        <f t="shared" si="138"/>
        <v>125364</v>
      </c>
      <c r="M967" s="40">
        <f t="shared" si="143"/>
        <v>22607</v>
      </c>
      <c r="N967" s="41" t="str">
        <f t="shared" ca="1" si="144"/>
        <v>V 55</v>
      </c>
      <c r="O967" s="41" t="str">
        <f t="shared" si="139"/>
        <v>M</v>
      </c>
      <c r="P967" s="60" t="str">
        <f t="shared" si="140"/>
        <v>VIP-RC</v>
      </c>
      <c r="Q967" s="61"/>
    </row>
    <row r="968" spans="1:17" ht="13">
      <c r="A968" s="28">
        <v>882</v>
      </c>
      <c r="B968" s="28">
        <v>129441</v>
      </c>
      <c r="C968" s="129" t="s">
        <v>655</v>
      </c>
      <c r="D968" s="128" t="s">
        <v>671</v>
      </c>
      <c r="E968" s="128" t="s">
        <v>145</v>
      </c>
      <c r="F968" s="29">
        <v>23855</v>
      </c>
      <c r="G968" s="56" t="str">
        <f t="shared" ca="1" si="141"/>
        <v>V 55</v>
      </c>
      <c r="H968" s="28">
        <f t="shared" ca="1" si="142"/>
        <v>55</v>
      </c>
      <c r="J968" s="38" t="str">
        <f t="shared" si="136"/>
        <v>Jorge Policarpo</v>
      </c>
      <c r="K968" s="39">
        <f t="shared" si="137"/>
        <v>882</v>
      </c>
      <c r="L968" s="39">
        <f t="shared" si="138"/>
        <v>129441</v>
      </c>
      <c r="M968" s="40">
        <f t="shared" si="143"/>
        <v>23855</v>
      </c>
      <c r="N968" s="41" t="str">
        <f t="shared" ca="1" si="144"/>
        <v>V 55</v>
      </c>
      <c r="O968" s="41" t="str">
        <f t="shared" si="139"/>
        <v>M</v>
      </c>
      <c r="P968" s="60" t="str">
        <f t="shared" si="140"/>
        <v>VIP-RC</v>
      </c>
      <c r="Q968" s="61"/>
    </row>
    <row r="969" spans="1:17" ht="13">
      <c r="A969" s="28">
        <v>891</v>
      </c>
      <c r="B969" s="28">
        <v>146582</v>
      </c>
      <c r="C969" s="129" t="s">
        <v>668</v>
      </c>
      <c r="D969" s="128" t="s">
        <v>671</v>
      </c>
      <c r="E969" s="128" t="s">
        <v>145</v>
      </c>
      <c r="F969" s="29">
        <v>24157</v>
      </c>
      <c r="G969" s="56" t="str">
        <f t="shared" ca="1" si="141"/>
        <v>V 55</v>
      </c>
      <c r="H969" s="28">
        <f t="shared" ca="1" si="142"/>
        <v>55</v>
      </c>
      <c r="J969" s="38" t="str">
        <f t="shared" si="136"/>
        <v>Ricardo Franco</v>
      </c>
      <c r="K969" s="39">
        <f t="shared" si="137"/>
        <v>891</v>
      </c>
      <c r="L969" s="39">
        <f t="shared" si="138"/>
        <v>146582</v>
      </c>
      <c r="M969" s="40">
        <f t="shared" si="143"/>
        <v>24157</v>
      </c>
      <c r="N969" s="41" t="str">
        <f t="shared" ca="1" si="144"/>
        <v>V 55</v>
      </c>
      <c r="O969" s="41" t="str">
        <f t="shared" si="139"/>
        <v>M</v>
      </c>
      <c r="P969" s="60" t="str">
        <f t="shared" si="140"/>
        <v>VIP-RC</v>
      </c>
      <c r="Q969" s="61"/>
    </row>
    <row r="970" spans="1:17" ht="13">
      <c r="A970" s="28">
        <v>911</v>
      </c>
      <c r="B970" s="28">
        <v>138383</v>
      </c>
      <c r="C970" s="129" t="s">
        <v>439</v>
      </c>
      <c r="D970" s="128" t="s">
        <v>671</v>
      </c>
      <c r="E970" s="128" t="s">
        <v>145</v>
      </c>
      <c r="F970" s="29">
        <v>31625</v>
      </c>
      <c r="G970" s="56" t="str">
        <f t="shared" ca="1" si="141"/>
        <v>Sénior</v>
      </c>
      <c r="H970" s="28">
        <f t="shared" ca="1" si="142"/>
        <v>34</v>
      </c>
      <c r="J970" s="38" t="str">
        <f t="shared" si="136"/>
        <v>Diogo Andrade</v>
      </c>
      <c r="K970" s="39">
        <f t="shared" si="137"/>
        <v>911</v>
      </c>
      <c r="L970" s="39">
        <f t="shared" si="138"/>
        <v>138383</v>
      </c>
      <c r="M970" s="40">
        <f t="shared" si="143"/>
        <v>31625</v>
      </c>
      <c r="N970" s="41" t="str">
        <f t="shared" ca="1" si="144"/>
        <v>Sénior</v>
      </c>
      <c r="O970" s="41" t="str">
        <f t="shared" si="139"/>
        <v>M</v>
      </c>
      <c r="P970" s="60" t="str">
        <f t="shared" si="140"/>
        <v>VIP-RC</v>
      </c>
      <c r="Q970" s="61"/>
    </row>
    <row r="971" spans="1:17" ht="13">
      <c r="A971" s="28">
        <v>1453</v>
      </c>
      <c r="B971" s="28">
        <v>128298</v>
      </c>
      <c r="C971" s="129" t="s">
        <v>214</v>
      </c>
      <c r="D971" s="128" t="s">
        <v>97</v>
      </c>
      <c r="E971" s="128" t="s">
        <v>145</v>
      </c>
      <c r="F971" s="29">
        <v>21410</v>
      </c>
      <c r="G971" s="56" t="str">
        <f t="shared" ca="1" si="141"/>
        <v>V 60</v>
      </c>
      <c r="H971" s="28">
        <f t="shared" ca="1" si="142"/>
        <v>62</v>
      </c>
      <c r="J971" s="38" t="str">
        <f t="shared" si="136"/>
        <v>Francisco J. Correia</v>
      </c>
      <c r="K971" s="39">
        <f t="shared" si="137"/>
        <v>1453</v>
      </c>
      <c r="L971" s="39">
        <f t="shared" si="138"/>
        <v>128298</v>
      </c>
      <c r="M971" s="40">
        <f t="shared" si="143"/>
        <v>21410</v>
      </c>
      <c r="N971" s="41" t="str">
        <f t="shared" ca="1" si="144"/>
        <v>V 60</v>
      </c>
      <c r="O971" s="41" t="str">
        <f t="shared" si="139"/>
        <v>M</v>
      </c>
      <c r="P971" s="60" t="str">
        <f t="shared" si="140"/>
        <v>ADRAP</v>
      </c>
      <c r="Q971" s="61"/>
    </row>
    <row r="972" spans="1:17" ht="13">
      <c r="A972" s="28">
        <v>1455</v>
      </c>
      <c r="B972" s="28">
        <v>143961</v>
      </c>
      <c r="C972" s="129" t="s">
        <v>561</v>
      </c>
      <c r="D972" s="128" t="s">
        <v>97</v>
      </c>
      <c r="E972" s="128" t="s">
        <v>145</v>
      </c>
      <c r="F972" s="29">
        <v>23786</v>
      </c>
      <c r="G972" s="56" t="str">
        <f t="shared" ca="1" si="141"/>
        <v>V 55</v>
      </c>
      <c r="H972" s="28">
        <f t="shared" ca="1" si="142"/>
        <v>56</v>
      </c>
      <c r="J972" s="38" t="str">
        <f t="shared" si="136"/>
        <v>José G. Carvalho</v>
      </c>
      <c r="K972" s="39">
        <f t="shared" si="137"/>
        <v>1455</v>
      </c>
      <c r="L972" s="39">
        <f t="shared" si="138"/>
        <v>143961</v>
      </c>
      <c r="M972" s="40">
        <f t="shared" si="143"/>
        <v>23786</v>
      </c>
      <c r="N972" s="41" t="str">
        <f t="shared" ca="1" si="144"/>
        <v>V 55</v>
      </c>
      <c r="O972" s="41" t="str">
        <f t="shared" si="139"/>
        <v>M</v>
      </c>
      <c r="P972" s="60" t="str">
        <f t="shared" si="140"/>
        <v>ADRAP</v>
      </c>
      <c r="Q972" s="61"/>
    </row>
    <row r="973" spans="1:17" ht="13">
      <c r="A973" s="28">
        <v>1459</v>
      </c>
      <c r="B973" s="28">
        <v>155413</v>
      </c>
      <c r="C973" s="129" t="s">
        <v>1026</v>
      </c>
      <c r="D973" s="128" t="s">
        <v>97</v>
      </c>
      <c r="E973" s="128" t="s">
        <v>145</v>
      </c>
      <c r="F973" s="29">
        <v>26125</v>
      </c>
      <c r="G973" s="56" t="str">
        <f t="shared" ca="1" si="141"/>
        <v>V 45</v>
      </c>
      <c r="H973" s="28">
        <f t="shared" ca="1" si="142"/>
        <v>49</v>
      </c>
      <c r="J973" s="38" t="str">
        <f t="shared" si="136"/>
        <v>Cláudio Nóbrega</v>
      </c>
      <c r="K973" s="39">
        <f t="shared" si="137"/>
        <v>1459</v>
      </c>
      <c r="L973" s="39">
        <f t="shared" si="138"/>
        <v>155413</v>
      </c>
      <c r="M973" s="40">
        <f t="shared" si="143"/>
        <v>26125</v>
      </c>
      <c r="N973" s="41" t="str">
        <f t="shared" ca="1" si="144"/>
        <v>V 45</v>
      </c>
      <c r="O973" s="41" t="str">
        <f t="shared" si="139"/>
        <v>M</v>
      </c>
      <c r="P973" s="60" t="str">
        <f t="shared" si="140"/>
        <v>ADRAP</v>
      </c>
      <c r="Q973" s="61"/>
    </row>
    <row r="974" spans="1:17" ht="13">
      <c r="A974" s="28">
        <v>1485</v>
      </c>
      <c r="B974" s="28">
        <v>144905</v>
      </c>
      <c r="C974" s="129" t="s">
        <v>1274</v>
      </c>
      <c r="D974" s="128" t="s">
        <v>97</v>
      </c>
      <c r="E974" s="128" t="s">
        <v>145</v>
      </c>
      <c r="F974" s="29">
        <v>32782</v>
      </c>
      <c r="G974" s="56" t="str">
        <f t="shared" ca="1" si="141"/>
        <v>Sénior</v>
      </c>
      <c r="H974" s="28">
        <f t="shared" ca="1" si="142"/>
        <v>31</v>
      </c>
      <c r="J974" s="38" t="str">
        <f t="shared" si="136"/>
        <v>Xavier Carvalho</v>
      </c>
      <c r="K974" s="39">
        <f t="shared" si="137"/>
        <v>1485</v>
      </c>
      <c r="L974" s="39">
        <f t="shared" si="138"/>
        <v>144905</v>
      </c>
      <c r="M974" s="40">
        <f t="shared" si="143"/>
        <v>32782</v>
      </c>
      <c r="N974" s="41" t="str">
        <f t="shared" ca="1" si="144"/>
        <v>Sénior</v>
      </c>
      <c r="O974" s="41" t="str">
        <f t="shared" si="139"/>
        <v>M</v>
      </c>
      <c r="P974" s="60" t="str">
        <f t="shared" si="140"/>
        <v>ADRAP</v>
      </c>
      <c r="Q974" s="61"/>
    </row>
    <row r="975" spans="1:17" ht="13">
      <c r="A975" s="28">
        <v>1458</v>
      </c>
      <c r="B975" s="28">
        <v>151599</v>
      </c>
      <c r="C975" s="129" t="s">
        <v>801</v>
      </c>
      <c r="D975" s="128" t="s">
        <v>97</v>
      </c>
      <c r="E975" s="128" t="s">
        <v>145</v>
      </c>
      <c r="F975" s="29">
        <v>26772</v>
      </c>
      <c r="G975" s="56" t="str">
        <f t="shared" ca="1" si="141"/>
        <v>V 45</v>
      </c>
      <c r="H975" s="28">
        <f t="shared" ca="1" si="142"/>
        <v>48</v>
      </c>
      <c r="J975" s="38" t="str">
        <f t="shared" si="136"/>
        <v>Francisco Dantas</v>
      </c>
      <c r="K975" s="39">
        <f t="shared" si="137"/>
        <v>1458</v>
      </c>
      <c r="L975" s="39">
        <f t="shared" si="138"/>
        <v>151599</v>
      </c>
      <c r="M975" s="40">
        <f t="shared" si="143"/>
        <v>26772</v>
      </c>
      <c r="N975" s="41" t="str">
        <f t="shared" ca="1" si="144"/>
        <v>V 45</v>
      </c>
      <c r="O975" s="41" t="str">
        <f t="shared" si="139"/>
        <v>M</v>
      </c>
      <c r="P975" s="60" t="str">
        <f t="shared" si="140"/>
        <v>ADRAP</v>
      </c>
      <c r="Q975" s="61"/>
    </row>
    <row r="976" spans="1:17" ht="13">
      <c r="A976" s="28">
        <v>30</v>
      </c>
      <c r="B976" s="28">
        <v>158825</v>
      </c>
      <c r="C976" s="129" t="s">
        <v>1191</v>
      </c>
      <c r="D976" s="128" t="s">
        <v>97</v>
      </c>
      <c r="E976" s="128" t="s">
        <v>146</v>
      </c>
      <c r="F976" s="29">
        <v>26501</v>
      </c>
      <c r="G976" s="56" t="str">
        <f t="shared" ca="1" si="141"/>
        <v>V 45</v>
      </c>
      <c r="H976" s="28">
        <f t="shared" ca="1" si="142"/>
        <v>48</v>
      </c>
      <c r="J976" s="38" t="str">
        <f t="shared" si="136"/>
        <v>Lina Dantas</v>
      </c>
      <c r="K976" s="39">
        <f t="shared" si="137"/>
        <v>30</v>
      </c>
      <c r="L976" s="39">
        <f t="shared" si="138"/>
        <v>158825</v>
      </c>
      <c r="M976" s="40">
        <f t="shared" si="143"/>
        <v>26501</v>
      </c>
      <c r="N976" s="41" t="str">
        <f t="shared" ca="1" si="144"/>
        <v>V 45</v>
      </c>
      <c r="O976" s="41" t="str">
        <f t="shared" si="139"/>
        <v>F</v>
      </c>
      <c r="P976" s="60" t="str">
        <f t="shared" si="140"/>
        <v>ADRAP</v>
      </c>
      <c r="Q976" s="61"/>
    </row>
    <row r="977" spans="1:17" ht="13">
      <c r="A977" s="28">
        <v>1900</v>
      </c>
      <c r="B977" s="28">
        <v>127731</v>
      </c>
      <c r="C977" s="129" t="s">
        <v>727</v>
      </c>
      <c r="D977" s="128" t="s">
        <v>97</v>
      </c>
      <c r="E977" s="128" t="s">
        <v>145</v>
      </c>
      <c r="F977" s="29">
        <v>39165</v>
      </c>
      <c r="G977" s="56" t="str">
        <f t="shared" ca="1" si="141"/>
        <v>Iniciado</v>
      </c>
      <c r="H977" s="28">
        <f t="shared" ca="1" si="142"/>
        <v>14</v>
      </c>
      <c r="J977" s="38" t="str">
        <f t="shared" si="136"/>
        <v>Simão Carvalho</v>
      </c>
      <c r="K977" s="39">
        <f t="shared" si="137"/>
        <v>1900</v>
      </c>
      <c r="L977" s="39">
        <f t="shared" si="138"/>
        <v>127731</v>
      </c>
      <c r="M977" s="40">
        <f t="shared" si="143"/>
        <v>39165</v>
      </c>
      <c r="N977" s="41" t="str">
        <f t="shared" ca="1" si="144"/>
        <v>Iniciado</v>
      </c>
      <c r="O977" s="41" t="str">
        <f t="shared" si="139"/>
        <v>M</v>
      </c>
      <c r="P977" s="60" t="str">
        <f t="shared" si="140"/>
        <v>ADRAP</v>
      </c>
      <c r="Q977" s="61"/>
    </row>
    <row r="978" spans="1:17" ht="13">
      <c r="A978" s="28">
        <v>1742</v>
      </c>
      <c r="B978" s="28">
        <v>127730</v>
      </c>
      <c r="C978" s="129" t="s">
        <v>514</v>
      </c>
      <c r="D978" s="128" t="s">
        <v>97</v>
      </c>
      <c r="E978" s="128" t="s">
        <v>145</v>
      </c>
      <c r="F978" s="29">
        <v>37996</v>
      </c>
      <c r="G978" s="56" t="str">
        <f t="shared" ca="1" si="141"/>
        <v>Juvenil</v>
      </c>
      <c r="H978" s="28">
        <f t="shared" ca="1" si="142"/>
        <v>17</v>
      </c>
      <c r="J978" s="38" t="str">
        <f t="shared" si="136"/>
        <v>Tomás Carvalho</v>
      </c>
      <c r="K978" s="39">
        <f t="shared" si="137"/>
        <v>1742</v>
      </c>
      <c r="L978" s="39">
        <f t="shared" si="138"/>
        <v>127730</v>
      </c>
      <c r="M978" s="40">
        <f t="shared" si="143"/>
        <v>37996</v>
      </c>
      <c r="N978" s="41" t="str">
        <f t="shared" ca="1" si="144"/>
        <v>Juvenil</v>
      </c>
      <c r="O978" s="41" t="str">
        <f t="shared" si="139"/>
        <v>M</v>
      </c>
      <c r="P978" s="60" t="str">
        <f t="shared" si="140"/>
        <v>ADRAP</v>
      </c>
      <c r="Q978" s="61"/>
    </row>
    <row r="979" spans="1:17" ht="13">
      <c r="A979" s="28">
        <v>1744</v>
      </c>
      <c r="B979" s="28">
        <v>145216</v>
      </c>
      <c r="C979" s="129" t="s">
        <v>1272</v>
      </c>
      <c r="D979" s="128" t="s">
        <v>97</v>
      </c>
      <c r="E979" s="128" t="s">
        <v>145</v>
      </c>
      <c r="F979" s="29">
        <v>37714</v>
      </c>
      <c r="G979" s="56" t="str">
        <f t="shared" ca="1" si="141"/>
        <v>Júnior</v>
      </c>
      <c r="H979" s="28">
        <f t="shared" ca="1" si="142"/>
        <v>18</v>
      </c>
      <c r="J979" s="38" t="str">
        <f t="shared" si="136"/>
        <v>Márcio Viveiros</v>
      </c>
      <c r="K979" s="39">
        <f t="shared" si="137"/>
        <v>1744</v>
      </c>
      <c r="L979" s="39">
        <f t="shared" si="138"/>
        <v>145216</v>
      </c>
      <c r="M979" s="40">
        <f t="shared" si="143"/>
        <v>37714</v>
      </c>
      <c r="N979" s="41" t="str">
        <f t="shared" ca="1" si="144"/>
        <v>Júnior</v>
      </c>
      <c r="O979" s="41" t="str">
        <f t="shared" si="139"/>
        <v>M</v>
      </c>
      <c r="P979" s="60" t="str">
        <f t="shared" si="140"/>
        <v>ADRAP</v>
      </c>
      <c r="Q979" s="61"/>
    </row>
    <row r="980" spans="1:17" ht="13">
      <c r="A980" s="28">
        <v>2043</v>
      </c>
      <c r="B980" s="28">
        <v>159329</v>
      </c>
      <c r="C980" s="129" t="s">
        <v>1235</v>
      </c>
      <c r="D980" s="128" t="s">
        <v>1238</v>
      </c>
      <c r="E980" s="128" t="s">
        <v>145</v>
      </c>
      <c r="F980" s="29">
        <v>40012</v>
      </c>
      <c r="G980" s="56" t="str">
        <f t="shared" ca="1" si="141"/>
        <v>Infantil</v>
      </c>
      <c r="H980" s="28">
        <f t="shared" ca="1" si="142"/>
        <v>11</v>
      </c>
      <c r="J980" s="38" t="str">
        <f t="shared" si="136"/>
        <v>Santiago Quintaneiro</v>
      </c>
      <c r="K980" s="39">
        <f t="shared" si="137"/>
        <v>2043</v>
      </c>
      <c r="L980" s="39">
        <f t="shared" si="138"/>
        <v>159329</v>
      </c>
      <c r="M980" s="40">
        <f t="shared" si="143"/>
        <v>40012</v>
      </c>
      <c r="N980" s="41" t="str">
        <f t="shared" ca="1" si="144"/>
        <v>Infantil</v>
      </c>
      <c r="O980" s="41" t="str">
        <f t="shared" si="139"/>
        <v>M</v>
      </c>
      <c r="P980" s="60" t="str">
        <f t="shared" si="140"/>
        <v>CDG</v>
      </c>
      <c r="Q980" s="61"/>
    </row>
    <row r="981" spans="1:17" ht="13">
      <c r="A981" s="28">
        <v>1223</v>
      </c>
      <c r="B981" s="28">
        <v>125238</v>
      </c>
      <c r="C981" s="129" t="s">
        <v>502</v>
      </c>
      <c r="D981" s="128" t="s">
        <v>1238</v>
      </c>
      <c r="E981" s="128" t="s">
        <v>145</v>
      </c>
      <c r="F981" s="29">
        <v>29096</v>
      </c>
      <c r="G981" s="56" t="str">
        <f t="shared" ca="1" si="141"/>
        <v>V 40</v>
      </c>
      <c r="H981" s="28">
        <f t="shared" ca="1" si="142"/>
        <v>41</v>
      </c>
      <c r="J981" s="38" t="str">
        <f t="shared" si="136"/>
        <v>João Quintaneiro</v>
      </c>
      <c r="K981" s="39">
        <f t="shared" si="137"/>
        <v>1223</v>
      </c>
      <c r="L981" s="39">
        <f t="shared" si="138"/>
        <v>125238</v>
      </c>
      <c r="M981" s="40">
        <f t="shared" si="143"/>
        <v>29096</v>
      </c>
      <c r="N981" s="41" t="str">
        <f t="shared" ca="1" si="144"/>
        <v>V 40</v>
      </c>
      <c r="O981" s="41" t="str">
        <f t="shared" si="139"/>
        <v>M</v>
      </c>
      <c r="P981" s="60" t="str">
        <f t="shared" si="140"/>
        <v>CDG</v>
      </c>
      <c r="Q981" s="61"/>
    </row>
    <row r="982" spans="1:17" ht="13">
      <c r="A982" s="28">
        <v>1222</v>
      </c>
      <c r="B982" s="28">
        <v>126225</v>
      </c>
      <c r="C982" s="129" t="s">
        <v>1557</v>
      </c>
      <c r="D982" s="128" t="s">
        <v>1238</v>
      </c>
      <c r="E982" s="128" t="s">
        <v>145</v>
      </c>
      <c r="F982" s="29">
        <v>27760</v>
      </c>
      <c r="G982" s="56" t="str">
        <f t="shared" ca="1" si="141"/>
        <v>V 45</v>
      </c>
      <c r="H982" s="28">
        <f t="shared" ca="1" si="142"/>
        <v>45</v>
      </c>
      <c r="J982" s="38" t="str">
        <f t="shared" si="136"/>
        <v>Rui Coelho</v>
      </c>
      <c r="K982" s="39">
        <f t="shared" si="137"/>
        <v>1222</v>
      </c>
      <c r="L982" s="39">
        <f t="shared" si="138"/>
        <v>126225</v>
      </c>
      <c r="M982" s="40">
        <f t="shared" si="143"/>
        <v>27760</v>
      </c>
      <c r="N982" s="41" t="str">
        <f t="shared" ca="1" si="144"/>
        <v>V 45</v>
      </c>
      <c r="O982" s="41" t="str">
        <f t="shared" si="139"/>
        <v>M</v>
      </c>
      <c r="P982" s="60" t="str">
        <f t="shared" si="140"/>
        <v>CDG</v>
      </c>
      <c r="Q982" s="61"/>
    </row>
    <row r="983" spans="1:17" ht="13">
      <c r="A983" s="28">
        <v>126</v>
      </c>
      <c r="B983" s="28">
        <v>146087</v>
      </c>
      <c r="C983" s="129" t="s">
        <v>596</v>
      </c>
      <c r="D983" s="128" t="s">
        <v>1238</v>
      </c>
      <c r="E983" s="128" t="s">
        <v>146</v>
      </c>
      <c r="F983" s="29">
        <v>33274</v>
      </c>
      <c r="G983" s="56" t="str">
        <f t="shared" ca="1" si="141"/>
        <v>Sénior</v>
      </c>
      <c r="H983" s="28">
        <f t="shared" ca="1" si="142"/>
        <v>30</v>
      </c>
      <c r="J983" s="38" t="str">
        <f t="shared" si="136"/>
        <v>Raquel Andrade</v>
      </c>
      <c r="K983" s="39">
        <f t="shared" si="137"/>
        <v>126</v>
      </c>
      <c r="L983" s="39">
        <f t="shared" si="138"/>
        <v>146087</v>
      </c>
      <c r="M983" s="40">
        <f t="shared" si="143"/>
        <v>33274</v>
      </c>
      <c r="N983" s="41" t="str">
        <f t="shared" ca="1" si="144"/>
        <v>Sénior</v>
      </c>
      <c r="O983" s="41" t="str">
        <f t="shared" si="139"/>
        <v>F</v>
      </c>
      <c r="P983" s="60" t="str">
        <f t="shared" si="140"/>
        <v>CDG</v>
      </c>
      <c r="Q983" s="61"/>
    </row>
    <row r="984" spans="1:17" ht="13">
      <c r="A984" s="28">
        <v>1221</v>
      </c>
      <c r="B984" s="28">
        <v>126856</v>
      </c>
      <c r="C984" s="129" t="s">
        <v>504</v>
      </c>
      <c r="D984" s="128" t="s">
        <v>1238</v>
      </c>
      <c r="E984" s="128" t="s">
        <v>145</v>
      </c>
      <c r="F984" s="29">
        <v>29308</v>
      </c>
      <c r="G984" s="56" t="str">
        <f t="shared" ca="1" si="141"/>
        <v>V 40</v>
      </c>
      <c r="H984" s="28">
        <f t="shared" ca="1" si="142"/>
        <v>41</v>
      </c>
      <c r="J984" s="38" t="str">
        <f t="shared" si="136"/>
        <v>Rui Loureiro</v>
      </c>
      <c r="K984" s="39">
        <f t="shared" si="137"/>
        <v>1221</v>
      </c>
      <c r="L984" s="39">
        <f t="shared" si="138"/>
        <v>126856</v>
      </c>
      <c r="M984" s="40">
        <f t="shared" si="143"/>
        <v>29308</v>
      </c>
      <c r="N984" s="41" t="str">
        <f t="shared" ca="1" si="144"/>
        <v>V 40</v>
      </c>
      <c r="O984" s="41" t="str">
        <f t="shared" si="139"/>
        <v>M</v>
      </c>
      <c r="P984" s="60" t="str">
        <f t="shared" si="140"/>
        <v>CDG</v>
      </c>
      <c r="Q984" s="61"/>
    </row>
    <row r="985" spans="1:17" ht="13">
      <c r="A985" s="28">
        <v>1406</v>
      </c>
      <c r="B985" s="28">
        <v>129188</v>
      </c>
      <c r="C985" s="129" t="s">
        <v>1348</v>
      </c>
      <c r="D985" s="128" t="s">
        <v>123</v>
      </c>
      <c r="E985" s="128" t="s">
        <v>145</v>
      </c>
      <c r="F985" s="29">
        <v>26740</v>
      </c>
      <c r="G985" s="56" t="str">
        <f t="shared" ca="1" si="141"/>
        <v>V 45</v>
      </c>
      <c r="H985" s="28">
        <f t="shared" ca="1" si="142"/>
        <v>48</v>
      </c>
      <c r="J985" s="38" t="str">
        <f t="shared" si="136"/>
        <v>Rui Pestana</v>
      </c>
      <c r="K985" s="39">
        <f t="shared" si="137"/>
        <v>1406</v>
      </c>
      <c r="L985" s="39">
        <f t="shared" si="138"/>
        <v>129188</v>
      </c>
      <c r="M985" s="40">
        <f t="shared" si="143"/>
        <v>26740</v>
      </c>
      <c r="N985" s="41" t="str">
        <f t="shared" ca="1" si="144"/>
        <v>V 45</v>
      </c>
      <c r="O985" s="41" t="str">
        <f t="shared" si="139"/>
        <v>M</v>
      </c>
      <c r="P985" s="60" t="str">
        <f t="shared" si="140"/>
        <v>AJS</v>
      </c>
      <c r="Q985" s="61"/>
    </row>
    <row r="986" spans="1:17" ht="13">
      <c r="A986" s="28">
        <v>1405</v>
      </c>
      <c r="B986" s="28">
        <v>125612</v>
      </c>
      <c r="C986" s="129" t="s">
        <v>512</v>
      </c>
      <c r="D986" s="128" t="s">
        <v>123</v>
      </c>
      <c r="E986" s="128" t="s">
        <v>145</v>
      </c>
      <c r="F986" s="29">
        <v>26639</v>
      </c>
      <c r="G986" s="56" t="str">
        <f t="shared" ca="1" si="141"/>
        <v>V 45</v>
      </c>
      <c r="H986" s="28">
        <f t="shared" ca="1" si="142"/>
        <v>48</v>
      </c>
      <c r="J986" s="38" t="str">
        <f t="shared" si="136"/>
        <v>Duarte N. Abreu</v>
      </c>
      <c r="K986" s="39">
        <f t="shared" si="137"/>
        <v>1405</v>
      </c>
      <c r="L986" s="39">
        <f t="shared" si="138"/>
        <v>125612</v>
      </c>
      <c r="M986" s="40">
        <f t="shared" si="143"/>
        <v>26639</v>
      </c>
      <c r="N986" s="41" t="str">
        <f t="shared" ca="1" si="144"/>
        <v>V 45</v>
      </c>
      <c r="O986" s="41" t="str">
        <f t="shared" si="139"/>
        <v>M</v>
      </c>
      <c r="P986" s="60" t="str">
        <f t="shared" si="140"/>
        <v>AJS</v>
      </c>
      <c r="Q986" s="61"/>
    </row>
    <row r="987" spans="1:17" ht="13">
      <c r="A987" s="28">
        <v>1736</v>
      </c>
      <c r="B987" s="28">
        <v>133066</v>
      </c>
      <c r="C987" s="129" t="s">
        <v>251</v>
      </c>
      <c r="D987" s="128" t="s">
        <v>123</v>
      </c>
      <c r="E987" s="128" t="s">
        <v>145</v>
      </c>
      <c r="F987" s="29">
        <v>37711</v>
      </c>
      <c r="G987" s="56" t="str">
        <f t="shared" ca="1" si="141"/>
        <v>Júnior</v>
      </c>
      <c r="H987" s="28">
        <f t="shared" ca="1" si="142"/>
        <v>18</v>
      </c>
      <c r="J987" s="38" t="str">
        <f t="shared" si="136"/>
        <v>Tiago Camacho</v>
      </c>
      <c r="K987" s="39">
        <f t="shared" si="137"/>
        <v>1736</v>
      </c>
      <c r="L987" s="39">
        <f t="shared" si="138"/>
        <v>133066</v>
      </c>
      <c r="M987" s="40">
        <f t="shared" si="143"/>
        <v>37711</v>
      </c>
      <c r="N987" s="41" t="str">
        <f t="shared" ca="1" si="144"/>
        <v>Júnior</v>
      </c>
      <c r="O987" s="41" t="str">
        <f t="shared" si="139"/>
        <v>M</v>
      </c>
      <c r="P987" s="60" t="str">
        <f t="shared" si="140"/>
        <v>AJS</v>
      </c>
      <c r="Q987" s="61"/>
    </row>
    <row r="988" spans="1:17" ht="13">
      <c r="A988" s="28">
        <v>1436</v>
      </c>
      <c r="B988" s="28">
        <v>135375</v>
      </c>
      <c r="C988" s="129" t="s">
        <v>1000</v>
      </c>
      <c r="D988" s="128" t="s">
        <v>123</v>
      </c>
      <c r="E988" s="128" t="s">
        <v>145</v>
      </c>
      <c r="F988" s="29">
        <v>31474</v>
      </c>
      <c r="G988" s="56" t="str">
        <f t="shared" ca="1" si="141"/>
        <v>V 35</v>
      </c>
      <c r="H988" s="28">
        <f t="shared" ca="1" si="142"/>
        <v>35</v>
      </c>
      <c r="J988" s="38" t="str">
        <f t="shared" si="136"/>
        <v>João C. Gonçalves</v>
      </c>
      <c r="K988" s="39">
        <f t="shared" si="137"/>
        <v>1436</v>
      </c>
      <c r="L988" s="39">
        <f t="shared" si="138"/>
        <v>135375</v>
      </c>
      <c r="M988" s="40">
        <f t="shared" si="143"/>
        <v>31474</v>
      </c>
      <c r="N988" s="41" t="str">
        <f t="shared" ca="1" si="144"/>
        <v>V 35</v>
      </c>
      <c r="O988" s="41" t="str">
        <f t="shared" si="139"/>
        <v>M</v>
      </c>
      <c r="P988" s="60" t="str">
        <f t="shared" si="140"/>
        <v>AJS</v>
      </c>
      <c r="Q988" s="61"/>
    </row>
    <row r="989" spans="1:17" ht="13">
      <c r="A989" s="28">
        <v>2048</v>
      </c>
      <c r="B989" s="28">
        <v>155340</v>
      </c>
      <c r="C989" s="129" t="s">
        <v>1018</v>
      </c>
      <c r="D989" s="128" t="s">
        <v>123</v>
      </c>
      <c r="E989" s="128" t="s">
        <v>145</v>
      </c>
      <c r="F989" s="29">
        <v>39971</v>
      </c>
      <c r="G989" s="56" t="str">
        <f t="shared" ca="1" si="141"/>
        <v>Infantil</v>
      </c>
      <c r="H989" s="28">
        <f t="shared" ca="1" si="142"/>
        <v>11</v>
      </c>
      <c r="J989" s="38" t="str">
        <f t="shared" si="136"/>
        <v>Guilherme Henriques</v>
      </c>
      <c r="K989" s="39">
        <f t="shared" si="137"/>
        <v>2048</v>
      </c>
      <c r="L989" s="39">
        <f t="shared" si="138"/>
        <v>155340</v>
      </c>
      <c r="M989" s="40">
        <f t="shared" si="143"/>
        <v>39971</v>
      </c>
      <c r="N989" s="41" t="str">
        <f t="shared" ca="1" si="144"/>
        <v>Infantil</v>
      </c>
      <c r="O989" s="41" t="str">
        <f t="shared" si="139"/>
        <v>M</v>
      </c>
      <c r="P989" s="60" t="str">
        <f t="shared" si="140"/>
        <v>AJS</v>
      </c>
      <c r="Q989" s="61"/>
    </row>
    <row r="990" spans="1:17" ht="13">
      <c r="A990" s="28">
        <v>1762</v>
      </c>
      <c r="B990" s="28">
        <v>159469</v>
      </c>
      <c r="C990" s="129" t="s">
        <v>1212</v>
      </c>
      <c r="D990" s="128" t="s">
        <v>123</v>
      </c>
      <c r="E990" s="128" t="s">
        <v>146</v>
      </c>
      <c r="F990" s="29">
        <v>38841</v>
      </c>
      <c r="G990" s="56" t="str">
        <f t="shared" ca="1" si="141"/>
        <v>Iniciado</v>
      </c>
      <c r="H990" s="28">
        <f t="shared" ca="1" si="142"/>
        <v>14</v>
      </c>
      <c r="J990" s="38" t="str">
        <f t="shared" si="136"/>
        <v>Catarina G. Fernandes</v>
      </c>
      <c r="K990" s="39">
        <f t="shared" si="137"/>
        <v>1762</v>
      </c>
      <c r="L990" s="39">
        <f t="shared" si="138"/>
        <v>159469</v>
      </c>
      <c r="M990" s="40">
        <f t="shared" si="143"/>
        <v>38841</v>
      </c>
      <c r="N990" s="41" t="str">
        <f t="shared" ca="1" si="144"/>
        <v>Iniciado</v>
      </c>
      <c r="O990" s="41" t="str">
        <f t="shared" si="139"/>
        <v>F</v>
      </c>
      <c r="P990" s="60" t="str">
        <f t="shared" si="140"/>
        <v>AJS</v>
      </c>
      <c r="Q990" s="61"/>
    </row>
    <row r="991" spans="1:17" ht="13">
      <c r="A991" s="28">
        <v>2047</v>
      </c>
      <c r="B991" s="28">
        <v>162028</v>
      </c>
      <c r="C991" s="129" t="s">
        <v>1395</v>
      </c>
      <c r="D991" s="128" t="s">
        <v>123</v>
      </c>
      <c r="E991" s="128" t="s">
        <v>145</v>
      </c>
      <c r="F991" s="29">
        <v>39953</v>
      </c>
      <c r="G991" s="56" t="str">
        <f t="shared" ca="1" si="141"/>
        <v>Infantil</v>
      </c>
      <c r="H991" s="28">
        <f t="shared" ca="1" si="142"/>
        <v>11</v>
      </c>
      <c r="J991" s="38" t="str">
        <f t="shared" si="136"/>
        <v>Cláudio Camacho</v>
      </c>
      <c r="K991" s="39">
        <f t="shared" si="137"/>
        <v>2047</v>
      </c>
      <c r="L991" s="39">
        <f t="shared" si="138"/>
        <v>162028</v>
      </c>
      <c r="M991" s="40">
        <f t="shared" si="143"/>
        <v>39953</v>
      </c>
      <c r="N991" s="41" t="str">
        <f t="shared" ca="1" si="144"/>
        <v>Infantil</v>
      </c>
      <c r="O991" s="41" t="str">
        <f t="shared" si="139"/>
        <v>M</v>
      </c>
      <c r="P991" s="60" t="str">
        <f t="shared" si="140"/>
        <v>AJS</v>
      </c>
      <c r="Q991" s="61"/>
    </row>
    <row r="992" spans="1:17" ht="13">
      <c r="A992" s="28">
        <v>1763</v>
      </c>
      <c r="B992" s="28">
        <v>154539</v>
      </c>
      <c r="C992" s="129" t="s">
        <v>975</v>
      </c>
      <c r="D992" s="128" t="s">
        <v>123</v>
      </c>
      <c r="E992" s="128" t="s">
        <v>146</v>
      </c>
      <c r="F992" s="29">
        <v>38751</v>
      </c>
      <c r="G992" s="56" t="str">
        <f t="shared" ca="1" si="141"/>
        <v>Iniciado</v>
      </c>
      <c r="H992" s="28">
        <f t="shared" ca="1" si="142"/>
        <v>15</v>
      </c>
      <c r="J992" s="38" t="str">
        <f t="shared" si="136"/>
        <v>Carlota Gomes</v>
      </c>
      <c r="K992" s="39">
        <f t="shared" si="137"/>
        <v>1763</v>
      </c>
      <c r="L992" s="39">
        <f t="shared" si="138"/>
        <v>154539</v>
      </c>
      <c r="M992" s="40">
        <f t="shared" si="143"/>
        <v>38751</v>
      </c>
      <c r="N992" s="41" t="str">
        <f t="shared" ca="1" si="144"/>
        <v>Iniciado</v>
      </c>
      <c r="O992" s="41" t="str">
        <f t="shared" si="139"/>
        <v>F</v>
      </c>
      <c r="P992" s="60" t="str">
        <f t="shared" si="140"/>
        <v>AJS</v>
      </c>
      <c r="Q992" s="61"/>
    </row>
    <row r="993" spans="1:17" ht="13">
      <c r="A993" s="28">
        <v>2046</v>
      </c>
      <c r="B993" s="28">
        <v>157899</v>
      </c>
      <c r="C993" s="129" t="s">
        <v>1214</v>
      </c>
      <c r="D993" s="128" t="s">
        <v>123</v>
      </c>
      <c r="E993" s="128" t="s">
        <v>145</v>
      </c>
      <c r="F993" s="29">
        <v>39806</v>
      </c>
      <c r="G993" s="56" t="str">
        <f t="shared" ca="1" si="141"/>
        <v>Infantil</v>
      </c>
      <c r="H993" s="28">
        <f t="shared" ca="1" si="142"/>
        <v>12</v>
      </c>
      <c r="J993" s="38" t="str">
        <f t="shared" si="136"/>
        <v>Eduardo Costa</v>
      </c>
      <c r="K993" s="39">
        <f t="shared" si="137"/>
        <v>2046</v>
      </c>
      <c r="L993" s="39">
        <f t="shared" si="138"/>
        <v>157899</v>
      </c>
      <c r="M993" s="40">
        <f t="shared" si="143"/>
        <v>39806</v>
      </c>
      <c r="N993" s="41" t="str">
        <f t="shared" ca="1" si="144"/>
        <v>Infantil</v>
      </c>
      <c r="O993" s="41" t="str">
        <f t="shared" si="139"/>
        <v>M</v>
      </c>
      <c r="P993" s="60" t="str">
        <f t="shared" si="140"/>
        <v>AJS</v>
      </c>
      <c r="Q993" s="61"/>
    </row>
    <row r="994" spans="1:17" ht="13">
      <c r="A994" s="28">
        <v>1764</v>
      </c>
      <c r="B994" s="28">
        <v>128350</v>
      </c>
      <c r="C994" s="129" t="s">
        <v>240</v>
      </c>
      <c r="D994" s="128" t="s">
        <v>123</v>
      </c>
      <c r="E994" s="128" t="s">
        <v>146</v>
      </c>
      <c r="F994" s="29">
        <v>38946</v>
      </c>
      <c r="G994" s="56" t="str">
        <f t="shared" ca="1" si="141"/>
        <v>Iniciado</v>
      </c>
      <c r="H994" s="28">
        <f t="shared" ca="1" si="142"/>
        <v>14</v>
      </c>
      <c r="J994" s="38" t="str">
        <f t="shared" si="136"/>
        <v>Maria Leonor Ferro</v>
      </c>
      <c r="K994" s="39">
        <f t="shared" si="137"/>
        <v>1764</v>
      </c>
      <c r="L994" s="39">
        <f t="shared" si="138"/>
        <v>128350</v>
      </c>
      <c r="M994" s="40">
        <f t="shared" si="143"/>
        <v>38946</v>
      </c>
      <c r="N994" s="41" t="str">
        <f t="shared" ca="1" si="144"/>
        <v>Iniciado</v>
      </c>
      <c r="O994" s="41" t="str">
        <f t="shared" si="139"/>
        <v>F</v>
      </c>
      <c r="P994" s="60" t="str">
        <f t="shared" si="140"/>
        <v>AJS</v>
      </c>
      <c r="Q994" s="61"/>
    </row>
    <row r="995" spans="1:17" ht="13">
      <c r="A995" s="28">
        <v>1432</v>
      </c>
      <c r="B995" s="28">
        <v>131878</v>
      </c>
      <c r="C995" s="129" t="s">
        <v>1408</v>
      </c>
      <c r="D995" s="128" t="s">
        <v>123</v>
      </c>
      <c r="E995" s="128" t="s">
        <v>145</v>
      </c>
      <c r="F995" s="29">
        <v>36421</v>
      </c>
      <c r="G995" s="56" t="str">
        <f t="shared" ca="1" si="141"/>
        <v>sub 23</v>
      </c>
      <c r="H995" s="28">
        <f t="shared" ca="1" si="142"/>
        <v>21</v>
      </c>
      <c r="J995" s="38" t="str">
        <f t="shared" si="136"/>
        <v>José Ricardo Mestre</v>
      </c>
      <c r="K995" s="39">
        <f t="shared" si="137"/>
        <v>1432</v>
      </c>
      <c r="L995" s="39">
        <f t="shared" si="138"/>
        <v>131878</v>
      </c>
      <c r="M995" s="40">
        <f t="shared" si="143"/>
        <v>36421</v>
      </c>
      <c r="N995" s="41" t="str">
        <f t="shared" ca="1" si="144"/>
        <v>sub 23</v>
      </c>
      <c r="O995" s="41" t="str">
        <f t="shared" si="139"/>
        <v>M</v>
      </c>
      <c r="P995" s="60" t="str">
        <f t="shared" si="140"/>
        <v>AJS</v>
      </c>
      <c r="Q995" s="61"/>
    </row>
    <row r="996" spans="1:17" ht="13">
      <c r="A996" s="28">
        <v>2243</v>
      </c>
      <c r="B996" s="28">
        <v>156268</v>
      </c>
      <c r="C996" s="129" t="s">
        <v>1052</v>
      </c>
      <c r="D996" s="128" t="s">
        <v>123</v>
      </c>
      <c r="E996" s="128" t="s">
        <v>145</v>
      </c>
      <c r="F996" s="29">
        <v>40676</v>
      </c>
      <c r="G996" s="56" t="str">
        <f t="shared" ca="1" si="141"/>
        <v>Benjamim B</v>
      </c>
      <c r="H996" s="28">
        <f t="shared" ca="1" si="142"/>
        <v>9</v>
      </c>
      <c r="J996" s="38" t="str">
        <f t="shared" si="136"/>
        <v>Tomás Freitas</v>
      </c>
      <c r="K996" s="39">
        <f t="shared" si="137"/>
        <v>2243</v>
      </c>
      <c r="L996" s="39">
        <f t="shared" si="138"/>
        <v>156268</v>
      </c>
      <c r="M996" s="40">
        <f t="shared" si="143"/>
        <v>40676</v>
      </c>
      <c r="N996" s="41" t="str">
        <f t="shared" ca="1" si="144"/>
        <v>Benjamim B</v>
      </c>
      <c r="O996" s="41" t="str">
        <f t="shared" si="139"/>
        <v>M</v>
      </c>
      <c r="P996" s="60" t="str">
        <f t="shared" si="140"/>
        <v>AJS</v>
      </c>
      <c r="Q996" s="61"/>
    </row>
    <row r="997" spans="1:17" ht="13">
      <c r="A997" s="28">
        <v>1765</v>
      </c>
      <c r="B997" s="28">
        <v>147161</v>
      </c>
      <c r="C997" s="129" t="s">
        <v>592</v>
      </c>
      <c r="D997" s="128" t="s">
        <v>123</v>
      </c>
      <c r="E997" s="128" t="s">
        <v>146</v>
      </c>
      <c r="F997" s="29">
        <v>39416</v>
      </c>
      <c r="G997" s="56" t="str">
        <f t="shared" ca="1" si="141"/>
        <v>Iniciado</v>
      </c>
      <c r="H997" s="28">
        <f t="shared" ca="1" si="142"/>
        <v>13</v>
      </c>
      <c r="J997" s="38" t="str">
        <f t="shared" si="136"/>
        <v>Telma Freitas</v>
      </c>
      <c r="K997" s="39">
        <f t="shared" si="137"/>
        <v>1765</v>
      </c>
      <c r="L997" s="39">
        <f t="shared" si="138"/>
        <v>147161</v>
      </c>
      <c r="M997" s="40">
        <f t="shared" si="143"/>
        <v>39416</v>
      </c>
      <c r="N997" s="41" t="str">
        <f t="shared" ca="1" si="144"/>
        <v>Iniciado</v>
      </c>
      <c r="O997" s="41" t="str">
        <f t="shared" si="139"/>
        <v>F</v>
      </c>
      <c r="P997" s="60" t="str">
        <f t="shared" si="140"/>
        <v>AJS</v>
      </c>
      <c r="Q997" s="61"/>
    </row>
    <row r="998" spans="1:17" ht="13">
      <c r="A998" s="28">
        <v>1423</v>
      </c>
      <c r="B998" s="28">
        <v>138534</v>
      </c>
      <c r="C998" s="129" t="s">
        <v>843</v>
      </c>
      <c r="D998" s="128" t="s">
        <v>123</v>
      </c>
      <c r="E998" s="128" t="s">
        <v>145</v>
      </c>
      <c r="F998" s="29">
        <v>30736</v>
      </c>
      <c r="G998" s="56" t="str">
        <f t="shared" ca="1" si="141"/>
        <v>V 35</v>
      </c>
      <c r="H998" s="28">
        <f t="shared" ca="1" si="142"/>
        <v>37</v>
      </c>
      <c r="J998" s="38" t="str">
        <f t="shared" si="136"/>
        <v>Sérgio David Santos</v>
      </c>
      <c r="K998" s="39">
        <f t="shared" si="137"/>
        <v>1423</v>
      </c>
      <c r="L998" s="39">
        <f t="shared" si="138"/>
        <v>138534</v>
      </c>
      <c r="M998" s="40">
        <f t="shared" si="143"/>
        <v>30736</v>
      </c>
      <c r="N998" s="41" t="str">
        <f t="shared" ca="1" si="144"/>
        <v>V 35</v>
      </c>
      <c r="O998" s="41" t="str">
        <f t="shared" si="139"/>
        <v>M</v>
      </c>
      <c r="P998" s="60" t="str">
        <f t="shared" si="140"/>
        <v>AJS</v>
      </c>
      <c r="Q998" s="61"/>
    </row>
    <row r="999" spans="1:17" ht="13">
      <c r="A999" s="28">
        <v>1904</v>
      </c>
      <c r="B999" s="28">
        <v>154711</v>
      </c>
      <c r="C999" s="129" t="s">
        <v>978</v>
      </c>
      <c r="D999" s="128" t="s">
        <v>123</v>
      </c>
      <c r="E999" s="128" t="s">
        <v>146</v>
      </c>
      <c r="F999" s="29">
        <v>39738</v>
      </c>
      <c r="G999" s="56" t="str">
        <f t="shared" ca="1" si="141"/>
        <v>Infantil</v>
      </c>
      <c r="H999" s="28">
        <f t="shared" ca="1" si="142"/>
        <v>12</v>
      </c>
      <c r="J999" s="38" t="str">
        <f t="shared" si="136"/>
        <v>Emília Simão</v>
      </c>
      <c r="K999" s="39">
        <f t="shared" si="137"/>
        <v>1904</v>
      </c>
      <c r="L999" s="39">
        <f t="shared" si="138"/>
        <v>154711</v>
      </c>
      <c r="M999" s="40">
        <f t="shared" si="143"/>
        <v>39738</v>
      </c>
      <c r="N999" s="41" t="str">
        <f t="shared" ca="1" si="144"/>
        <v>Infantil</v>
      </c>
      <c r="O999" s="41" t="str">
        <f t="shared" si="139"/>
        <v>F</v>
      </c>
      <c r="P999" s="60" t="str">
        <f t="shared" si="140"/>
        <v>AJS</v>
      </c>
      <c r="Q999" s="61"/>
    </row>
    <row r="1000" spans="1:17" ht="13">
      <c r="A1000" s="28">
        <v>2062</v>
      </c>
      <c r="B1000" s="28">
        <v>154768</v>
      </c>
      <c r="C1000" s="129" t="s">
        <v>977</v>
      </c>
      <c r="D1000" s="128" t="s">
        <v>123</v>
      </c>
      <c r="E1000" s="128" t="s">
        <v>146</v>
      </c>
      <c r="F1000" s="29">
        <v>40810</v>
      </c>
      <c r="G1000" s="56" t="str">
        <f t="shared" ca="1" si="141"/>
        <v>Benjamim B</v>
      </c>
      <c r="H1000" s="28">
        <f t="shared" ca="1" si="142"/>
        <v>9</v>
      </c>
      <c r="J1000" s="38" t="str">
        <f t="shared" si="136"/>
        <v>Isabela Simão</v>
      </c>
      <c r="K1000" s="39">
        <f t="shared" si="137"/>
        <v>2062</v>
      </c>
      <c r="L1000" s="39">
        <f t="shared" si="138"/>
        <v>154768</v>
      </c>
      <c r="M1000" s="40">
        <f t="shared" si="143"/>
        <v>40810</v>
      </c>
      <c r="N1000" s="41" t="str">
        <f t="shared" ca="1" si="144"/>
        <v>Benjamim B</v>
      </c>
      <c r="O1000" s="41" t="str">
        <f t="shared" si="139"/>
        <v>F</v>
      </c>
      <c r="P1000" s="60" t="str">
        <f t="shared" si="140"/>
        <v>AJS</v>
      </c>
      <c r="Q1000" s="61"/>
    </row>
    <row r="1001" spans="1:17" ht="13">
      <c r="A1001" s="28">
        <v>1905</v>
      </c>
      <c r="B1001" s="28">
        <v>163680</v>
      </c>
      <c r="C1001" s="129" t="s">
        <v>1562</v>
      </c>
      <c r="D1001" s="128" t="s">
        <v>123</v>
      </c>
      <c r="E1001" s="128" t="s">
        <v>146</v>
      </c>
      <c r="F1001" s="29">
        <v>39724</v>
      </c>
      <c r="G1001" s="56" t="str">
        <f t="shared" ca="1" si="141"/>
        <v>Infantil</v>
      </c>
      <c r="H1001" s="28">
        <f t="shared" ca="1" si="142"/>
        <v>12</v>
      </c>
      <c r="J1001" s="38" t="str">
        <f t="shared" si="136"/>
        <v>Nicole Pita</v>
      </c>
      <c r="K1001" s="39">
        <f t="shared" si="137"/>
        <v>1905</v>
      </c>
      <c r="L1001" s="39">
        <f t="shared" si="138"/>
        <v>163680</v>
      </c>
      <c r="M1001" s="40">
        <f t="shared" si="143"/>
        <v>39724</v>
      </c>
      <c r="N1001" s="41" t="str">
        <f t="shared" ca="1" si="144"/>
        <v>Infantil</v>
      </c>
      <c r="O1001" s="41" t="str">
        <f t="shared" si="139"/>
        <v>F</v>
      </c>
      <c r="P1001" s="60" t="str">
        <f t="shared" si="140"/>
        <v>AJS</v>
      </c>
      <c r="Q1001" s="61"/>
    </row>
    <row r="1002" spans="1:17" ht="13">
      <c r="A1002" s="28">
        <v>1404</v>
      </c>
      <c r="B1002" s="28">
        <v>139979</v>
      </c>
      <c r="C1002" s="129" t="s">
        <v>459</v>
      </c>
      <c r="D1002" s="128" t="s">
        <v>123</v>
      </c>
      <c r="E1002" s="128" t="s">
        <v>145</v>
      </c>
      <c r="F1002" s="29">
        <v>27404</v>
      </c>
      <c r="G1002" s="56" t="str">
        <f t="shared" ca="1" si="141"/>
        <v>V 45</v>
      </c>
      <c r="H1002" s="28">
        <f t="shared" ca="1" si="142"/>
        <v>46</v>
      </c>
      <c r="J1002" s="38" t="str">
        <f t="shared" si="136"/>
        <v>Alcídio Ferro</v>
      </c>
      <c r="K1002" s="39">
        <f t="shared" si="137"/>
        <v>1404</v>
      </c>
      <c r="L1002" s="39">
        <f t="shared" si="138"/>
        <v>139979</v>
      </c>
      <c r="M1002" s="40">
        <f t="shared" si="143"/>
        <v>27404</v>
      </c>
      <c r="N1002" s="41" t="str">
        <f t="shared" ca="1" si="144"/>
        <v>V 45</v>
      </c>
      <c r="O1002" s="41" t="str">
        <f t="shared" si="139"/>
        <v>M</v>
      </c>
      <c r="P1002" s="60" t="str">
        <f t="shared" si="140"/>
        <v>AJS</v>
      </c>
      <c r="Q1002" s="61"/>
    </row>
    <row r="1003" spans="1:17" ht="13">
      <c r="A1003" s="28">
        <v>903</v>
      </c>
      <c r="B1003" s="28">
        <v>130869</v>
      </c>
      <c r="C1003" s="129" t="s">
        <v>259</v>
      </c>
      <c r="D1003" s="128" t="s">
        <v>671</v>
      </c>
      <c r="E1003" s="128" t="s">
        <v>145</v>
      </c>
      <c r="F1003" s="29">
        <v>30512</v>
      </c>
      <c r="G1003" s="56" t="str">
        <f t="shared" ca="1" si="141"/>
        <v>V 35</v>
      </c>
      <c r="H1003" s="28">
        <f t="shared" ca="1" si="142"/>
        <v>37</v>
      </c>
      <c r="J1003" s="38" t="str">
        <f t="shared" si="136"/>
        <v>Roberto Prioste</v>
      </c>
      <c r="K1003" s="39">
        <f t="shared" si="137"/>
        <v>903</v>
      </c>
      <c r="L1003" s="39">
        <f t="shared" si="138"/>
        <v>130869</v>
      </c>
      <c r="M1003" s="40">
        <f t="shared" si="143"/>
        <v>30512</v>
      </c>
      <c r="N1003" s="41" t="str">
        <f t="shared" ca="1" si="144"/>
        <v>V 35</v>
      </c>
      <c r="O1003" s="41" t="str">
        <f t="shared" si="139"/>
        <v>M</v>
      </c>
      <c r="P1003" s="60" t="str">
        <f t="shared" si="140"/>
        <v>VIP-RC</v>
      </c>
      <c r="Q1003" s="61"/>
    </row>
    <row r="1004" spans="1:17" ht="13">
      <c r="A1004" s="28">
        <v>263</v>
      </c>
      <c r="B1004" s="28">
        <v>156397</v>
      </c>
      <c r="C1004" s="129" t="s">
        <v>1054</v>
      </c>
      <c r="D1004" s="128" t="s">
        <v>671</v>
      </c>
      <c r="E1004" s="128" t="s">
        <v>146</v>
      </c>
      <c r="F1004" s="29">
        <v>30041</v>
      </c>
      <c r="G1004" s="56" t="str">
        <f t="shared" ca="1" si="141"/>
        <v>V 35</v>
      </c>
      <c r="H1004" s="28">
        <f t="shared" ca="1" si="142"/>
        <v>39</v>
      </c>
      <c r="J1004" s="38" t="str">
        <f t="shared" si="136"/>
        <v>Clésia Teixeira</v>
      </c>
      <c r="K1004" s="39">
        <f t="shared" si="137"/>
        <v>263</v>
      </c>
      <c r="L1004" s="39">
        <f t="shared" si="138"/>
        <v>156397</v>
      </c>
      <c r="M1004" s="40">
        <f t="shared" si="143"/>
        <v>30041</v>
      </c>
      <c r="N1004" s="41" t="str">
        <f t="shared" ca="1" si="144"/>
        <v>V 35</v>
      </c>
      <c r="O1004" s="41" t="str">
        <f t="shared" si="139"/>
        <v>F</v>
      </c>
      <c r="P1004" s="60" t="str">
        <f t="shared" si="140"/>
        <v>VIP-RC</v>
      </c>
      <c r="Q1004" s="61"/>
    </row>
    <row r="1005" spans="1:17" ht="13">
      <c r="A1005" s="28">
        <v>271</v>
      </c>
      <c r="B1005" s="28">
        <v>156351</v>
      </c>
      <c r="C1005" s="129" t="s">
        <v>1075</v>
      </c>
      <c r="D1005" s="128" t="s">
        <v>671</v>
      </c>
      <c r="E1005" s="128" t="s">
        <v>146</v>
      </c>
      <c r="F1005" s="29">
        <v>24831</v>
      </c>
      <c r="G1005" s="56" t="str">
        <f t="shared" ca="1" si="141"/>
        <v>V 50</v>
      </c>
      <c r="H1005" s="28">
        <f t="shared" ca="1" si="142"/>
        <v>53</v>
      </c>
      <c r="J1005" s="38" t="str">
        <f t="shared" si="136"/>
        <v>Cristina N Fernandes</v>
      </c>
      <c r="K1005" s="39">
        <f t="shared" si="137"/>
        <v>271</v>
      </c>
      <c r="L1005" s="39">
        <f t="shared" si="138"/>
        <v>156351</v>
      </c>
      <c r="M1005" s="40">
        <f t="shared" si="143"/>
        <v>24831</v>
      </c>
      <c r="N1005" s="41" t="str">
        <f t="shared" ca="1" si="144"/>
        <v>V 50</v>
      </c>
      <c r="O1005" s="41" t="str">
        <f t="shared" si="139"/>
        <v>F</v>
      </c>
      <c r="P1005" s="60" t="str">
        <f t="shared" si="140"/>
        <v>VIP-RC</v>
      </c>
      <c r="Q1005" s="61"/>
    </row>
    <row r="1006" spans="1:17" ht="13">
      <c r="A1006" s="28">
        <v>901</v>
      </c>
      <c r="B1006" s="28">
        <v>126697</v>
      </c>
      <c r="C1006" s="129" t="s">
        <v>120</v>
      </c>
      <c r="D1006" s="128" t="s">
        <v>671</v>
      </c>
      <c r="E1006" s="128" t="s">
        <v>145</v>
      </c>
      <c r="F1006" s="29">
        <v>27985</v>
      </c>
      <c r="G1006" s="56" t="str">
        <f t="shared" ca="1" si="141"/>
        <v>V 40</v>
      </c>
      <c r="H1006" s="28">
        <f t="shared" ca="1" si="142"/>
        <v>44</v>
      </c>
      <c r="J1006" s="38" t="str">
        <f t="shared" si="136"/>
        <v>Rodolfo Alves</v>
      </c>
      <c r="K1006" s="39">
        <f t="shared" si="137"/>
        <v>901</v>
      </c>
      <c r="L1006" s="39">
        <f t="shared" si="138"/>
        <v>126697</v>
      </c>
      <c r="M1006" s="40">
        <f t="shared" si="143"/>
        <v>27985</v>
      </c>
      <c r="N1006" s="41" t="str">
        <f t="shared" ca="1" si="144"/>
        <v>V 40</v>
      </c>
      <c r="O1006" s="41" t="str">
        <f t="shared" si="139"/>
        <v>M</v>
      </c>
      <c r="P1006" s="60" t="str">
        <f t="shared" si="140"/>
        <v>VIP-RC</v>
      </c>
      <c r="Q1006" s="61"/>
    </row>
    <row r="1007" spans="1:17" ht="13">
      <c r="A1007" s="28">
        <v>272</v>
      </c>
      <c r="B1007" s="28">
        <v>125916</v>
      </c>
      <c r="C1007" s="129" t="s">
        <v>181</v>
      </c>
      <c r="D1007" s="128" t="s">
        <v>671</v>
      </c>
      <c r="E1007" s="128" t="s">
        <v>146</v>
      </c>
      <c r="F1007" s="29">
        <v>23987</v>
      </c>
      <c r="G1007" s="56" t="str">
        <f t="shared" ca="1" si="141"/>
        <v>V 55</v>
      </c>
      <c r="H1007" s="28">
        <f t="shared" ca="1" si="142"/>
        <v>55</v>
      </c>
      <c r="J1007" s="38" t="str">
        <f t="shared" si="136"/>
        <v>Cecília Andrade</v>
      </c>
      <c r="K1007" s="39">
        <f t="shared" si="137"/>
        <v>272</v>
      </c>
      <c r="L1007" s="39">
        <f t="shared" si="138"/>
        <v>125916</v>
      </c>
      <c r="M1007" s="40">
        <f t="shared" si="143"/>
        <v>23987</v>
      </c>
      <c r="N1007" s="41" t="str">
        <f t="shared" ca="1" si="144"/>
        <v>V 55</v>
      </c>
      <c r="O1007" s="41" t="str">
        <f t="shared" si="139"/>
        <v>F</v>
      </c>
      <c r="P1007" s="60" t="str">
        <f t="shared" si="140"/>
        <v>VIP-RC</v>
      </c>
      <c r="Q1007" s="61"/>
    </row>
    <row r="1008" spans="1:17" ht="13">
      <c r="A1008" s="28">
        <v>881</v>
      </c>
      <c r="B1008" s="28">
        <v>125914</v>
      </c>
      <c r="C1008" s="129" t="s">
        <v>199</v>
      </c>
      <c r="D1008" s="128" t="s">
        <v>671</v>
      </c>
      <c r="E1008" s="128" t="s">
        <v>145</v>
      </c>
      <c r="F1008" s="29">
        <v>23524</v>
      </c>
      <c r="G1008" s="56" t="str">
        <f t="shared" ca="1" si="141"/>
        <v>V 55</v>
      </c>
      <c r="H1008" s="28">
        <f t="shared" ca="1" si="142"/>
        <v>56</v>
      </c>
      <c r="J1008" s="38" t="str">
        <f t="shared" si="136"/>
        <v>Manuel Andrade</v>
      </c>
      <c r="K1008" s="39">
        <f t="shared" si="137"/>
        <v>881</v>
      </c>
      <c r="L1008" s="39">
        <f t="shared" si="138"/>
        <v>125914</v>
      </c>
      <c r="M1008" s="40">
        <f t="shared" si="143"/>
        <v>23524</v>
      </c>
      <c r="N1008" s="41" t="str">
        <f t="shared" ca="1" si="144"/>
        <v>V 55</v>
      </c>
      <c r="O1008" s="41" t="str">
        <f t="shared" si="139"/>
        <v>M</v>
      </c>
      <c r="P1008" s="60" t="str">
        <f t="shared" si="140"/>
        <v>VIP-RC</v>
      </c>
      <c r="Q1008" s="61"/>
    </row>
    <row r="1009" spans="1:17" ht="13">
      <c r="A1009" s="28">
        <v>890</v>
      </c>
      <c r="B1009" s="28">
        <v>130082</v>
      </c>
      <c r="C1009" s="129" t="s">
        <v>650</v>
      </c>
      <c r="D1009" s="128" t="s">
        <v>671</v>
      </c>
      <c r="E1009" s="128" t="s">
        <v>145</v>
      </c>
      <c r="F1009" s="29">
        <v>24884</v>
      </c>
      <c r="G1009" s="56" t="str">
        <f t="shared" ca="1" si="141"/>
        <v>V 50</v>
      </c>
      <c r="H1009" s="28">
        <f t="shared" ca="1" si="142"/>
        <v>53</v>
      </c>
      <c r="J1009" s="38" t="str">
        <f t="shared" si="136"/>
        <v>Eugénio Pinto</v>
      </c>
      <c r="K1009" s="39">
        <f t="shared" si="137"/>
        <v>890</v>
      </c>
      <c r="L1009" s="39">
        <f t="shared" si="138"/>
        <v>130082</v>
      </c>
      <c r="M1009" s="40">
        <f t="shared" si="143"/>
        <v>24884</v>
      </c>
      <c r="N1009" s="41" t="str">
        <f t="shared" ca="1" si="144"/>
        <v>V 50</v>
      </c>
      <c r="O1009" s="41" t="str">
        <f t="shared" si="139"/>
        <v>M</v>
      </c>
      <c r="P1009" s="60" t="str">
        <f t="shared" si="140"/>
        <v>VIP-RC</v>
      </c>
      <c r="Q1009" s="61"/>
    </row>
    <row r="1010" spans="1:17" ht="13">
      <c r="A1010" s="28">
        <v>900</v>
      </c>
      <c r="B1010" s="28">
        <v>128073</v>
      </c>
      <c r="C1010" s="129" t="s">
        <v>657</v>
      </c>
      <c r="D1010" s="128" t="s">
        <v>671</v>
      </c>
      <c r="E1010" s="128" t="s">
        <v>145</v>
      </c>
      <c r="F1010" s="29">
        <v>29171</v>
      </c>
      <c r="G1010" s="56" t="str">
        <f t="shared" ca="1" si="141"/>
        <v>V 40</v>
      </c>
      <c r="H1010" s="28">
        <f t="shared" ca="1" si="142"/>
        <v>41</v>
      </c>
      <c r="J1010" s="38" t="str">
        <f t="shared" si="136"/>
        <v>José Franco</v>
      </c>
      <c r="K1010" s="39">
        <f t="shared" si="137"/>
        <v>900</v>
      </c>
      <c r="L1010" s="39">
        <f t="shared" si="138"/>
        <v>128073</v>
      </c>
      <c r="M1010" s="40">
        <f t="shared" si="143"/>
        <v>29171</v>
      </c>
      <c r="N1010" s="41" t="str">
        <f t="shared" ca="1" si="144"/>
        <v>V 40</v>
      </c>
      <c r="O1010" s="41" t="str">
        <f t="shared" si="139"/>
        <v>M</v>
      </c>
      <c r="P1010" s="60" t="str">
        <f t="shared" si="140"/>
        <v>VIP-RC</v>
      </c>
      <c r="Q1010" s="61"/>
    </row>
    <row r="1011" spans="1:17" ht="13">
      <c r="A1011" s="28">
        <v>889</v>
      </c>
      <c r="B1011" s="28">
        <v>163713</v>
      </c>
      <c r="C1011" s="129" t="s">
        <v>1438</v>
      </c>
      <c r="D1011" s="128" t="s">
        <v>671</v>
      </c>
      <c r="E1011" s="128" t="s">
        <v>145</v>
      </c>
      <c r="F1011" s="29">
        <v>24167</v>
      </c>
      <c r="G1011" s="56" t="str">
        <f t="shared" ca="1" si="141"/>
        <v>V 55</v>
      </c>
      <c r="H1011" s="28">
        <f t="shared" ca="1" si="142"/>
        <v>55</v>
      </c>
      <c r="J1011" s="38" t="str">
        <f t="shared" si="136"/>
        <v>Hugo J. Fernandes</v>
      </c>
      <c r="K1011" s="39">
        <f t="shared" si="137"/>
        <v>889</v>
      </c>
      <c r="L1011" s="39">
        <f t="shared" si="138"/>
        <v>163713</v>
      </c>
      <c r="M1011" s="40">
        <f t="shared" si="143"/>
        <v>24167</v>
      </c>
      <c r="N1011" s="41" t="str">
        <f t="shared" ca="1" si="144"/>
        <v>V 55</v>
      </c>
      <c r="O1011" s="41" t="str">
        <f t="shared" si="139"/>
        <v>M</v>
      </c>
      <c r="P1011" s="60" t="str">
        <f t="shared" si="140"/>
        <v>VIP-RC</v>
      </c>
      <c r="Q1011" s="61"/>
    </row>
    <row r="1012" spans="1:17" ht="13">
      <c r="A1012" s="28">
        <v>1051</v>
      </c>
      <c r="B1012" s="28">
        <v>127200</v>
      </c>
      <c r="C1012" s="129" t="s">
        <v>1279</v>
      </c>
      <c r="D1012" s="128" t="s">
        <v>161</v>
      </c>
      <c r="E1012" s="128" t="s">
        <v>145</v>
      </c>
      <c r="F1012" s="29">
        <v>28798</v>
      </c>
      <c r="G1012" s="56" t="str">
        <f t="shared" ca="1" si="141"/>
        <v>V 40</v>
      </c>
      <c r="H1012" s="28">
        <f t="shared" ca="1" si="142"/>
        <v>42</v>
      </c>
      <c r="J1012" s="38" t="str">
        <f t="shared" si="136"/>
        <v>Nuno Barros</v>
      </c>
      <c r="K1012" s="39">
        <f t="shared" si="137"/>
        <v>1051</v>
      </c>
      <c r="L1012" s="39">
        <f t="shared" si="138"/>
        <v>127200</v>
      </c>
      <c r="M1012" s="40">
        <f t="shared" si="143"/>
        <v>28798</v>
      </c>
      <c r="N1012" s="41" t="str">
        <f t="shared" ca="1" si="144"/>
        <v>V 40</v>
      </c>
      <c r="O1012" s="41" t="str">
        <f t="shared" si="139"/>
        <v>M</v>
      </c>
      <c r="P1012" s="60" t="str">
        <f t="shared" si="140"/>
        <v>CPC-M</v>
      </c>
      <c r="Q1012" s="61"/>
    </row>
    <row r="1013" spans="1:17" ht="13">
      <c r="A1013" s="28">
        <v>1056</v>
      </c>
      <c r="B1013" s="28">
        <v>127586</v>
      </c>
      <c r="C1013" s="129" t="s">
        <v>315</v>
      </c>
      <c r="D1013" s="128" t="s">
        <v>161</v>
      </c>
      <c r="E1013" s="128" t="s">
        <v>145</v>
      </c>
      <c r="F1013" s="29">
        <v>30751</v>
      </c>
      <c r="G1013" s="56" t="str">
        <f t="shared" ca="1" si="141"/>
        <v>V 35</v>
      </c>
      <c r="H1013" s="28">
        <f t="shared" ca="1" si="142"/>
        <v>37</v>
      </c>
      <c r="J1013" s="38" t="str">
        <f t="shared" si="136"/>
        <v>Ricardo Correia</v>
      </c>
      <c r="K1013" s="39">
        <f t="shared" si="137"/>
        <v>1056</v>
      </c>
      <c r="L1013" s="39">
        <f t="shared" si="138"/>
        <v>127586</v>
      </c>
      <c r="M1013" s="40">
        <f t="shared" si="143"/>
        <v>30751</v>
      </c>
      <c r="N1013" s="41" t="str">
        <f t="shared" ca="1" si="144"/>
        <v>V 35</v>
      </c>
      <c r="O1013" s="41" t="str">
        <f t="shared" si="139"/>
        <v>M</v>
      </c>
      <c r="P1013" s="60" t="str">
        <f t="shared" si="140"/>
        <v>CPC-M</v>
      </c>
      <c r="Q1013" s="61"/>
    </row>
    <row r="1014" spans="1:17" ht="13">
      <c r="A1014" s="28">
        <v>1060</v>
      </c>
      <c r="B1014" s="28">
        <v>158521</v>
      </c>
      <c r="C1014" s="129" t="s">
        <v>1180</v>
      </c>
      <c r="D1014" s="128" t="s">
        <v>161</v>
      </c>
      <c r="E1014" s="128" t="s">
        <v>145</v>
      </c>
      <c r="F1014" s="29">
        <v>35682</v>
      </c>
      <c r="G1014" s="56" t="str">
        <f t="shared" ca="1" si="141"/>
        <v>Sénior</v>
      </c>
      <c r="H1014" s="28">
        <f t="shared" ca="1" si="142"/>
        <v>23</v>
      </c>
      <c r="J1014" s="38" t="str">
        <f t="shared" si="136"/>
        <v>Rúben Quintal</v>
      </c>
      <c r="K1014" s="39">
        <f t="shared" si="137"/>
        <v>1060</v>
      </c>
      <c r="L1014" s="39">
        <f t="shared" si="138"/>
        <v>158521</v>
      </c>
      <c r="M1014" s="40">
        <f t="shared" si="143"/>
        <v>35682</v>
      </c>
      <c r="N1014" s="41" t="str">
        <f t="shared" ca="1" si="144"/>
        <v>Sénior</v>
      </c>
      <c r="O1014" s="41" t="str">
        <f t="shared" si="139"/>
        <v>M</v>
      </c>
      <c r="P1014" s="60" t="str">
        <f t="shared" si="140"/>
        <v>CPC-M</v>
      </c>
      <c r="Q1014" s="61"/>
    </row>
    <row r="1015" spans="1:17" ht="13">
      <c r="A1015" s="28">
        <v>192</v>
      </c>
      <c r="B1015" s="28">
        <v>161605</v>
      </c>
      <c r="C1015" s="129" t="s">
        <v>1386</v>
      </c>
      <c r="D1015" s="128" t="s">
        <v>161</v>
      </c>
      <c r="E1015" s="128" t="s">
        <v>146</v>
      </c>
      <c r="F1015" s="29">
        <v>29358</v>
      </c>
      <c r="G1015" s="56" t="str">
        <f t="shared" ca="1" si="141"/>
        <v>V 40</v>
      </c>
      <c r="H1015" s="28">
        <f t="shared" ca="1" si="142"/>
        <v>40</v>
      </c>
      <c r="J1015" s="38" t="str">
        <f t="shared" si="136"/>
        <v>Ana Gouveia</v>
      </c>
      <c r="K1015" s="39">
        <f t="shared" si="137"/>
        <v>192</v>
      </c>
      <c r="L1015" s="39">
        <f t="shared" si="138"/>
        <v>161605</v>
      </c>
      <c r="M1015" s="40">
        <f t="shared" si="143"/>
        <v>29358</v>
      </c>
      <c r="N1015" s="41" t="str">
        <f t="shared" ca="1" si="144"/>
        <v>V 40</v>
      </c>
      <c r="O1015" s="41" t="str">
        <f t="shared" si="139"/>
        <v>F</v>
      </c>
      <c r="P1015" s="60" t="str">
        <f t="shared" si="140"/>
        <v>CPC-M</v>
      </c>
      <c r="Q1015" s="61"/>
    </row>
    <row r="1016" spans="1:17" ht="13">
      <c r="A1016" s="28">
        <v>1050</v>
      </c>
      <c r="B1016" s="28">
        <v>154738</v>
      </c>
      <c r="C1016" s="129" t="s">
        <v>982</v>
      </c>
      <c r="D1016" s="128" t="s">
        <v>161</v>
      </c>
      <c r="E1016" s="128" t="s">
        <v>145</v>
      </c>
      <c r="F1016" s="29">
        <v>29063</v>
      </c>
      <c r="G1016" s="56" t="str">
        <f t="shared" ca="1" si="141"/>
        <v>V 40</v>
      </c>
      <c r="H1016" s="28">
        <f t="shared" ca="1" si="142"/>
        <v>41</v>
      </c>
      <c r="J1016" s="38" t="str">
        <f t="shared" si="136"/>
        <v>Miguel V. Gouveia</v>
      </c>
      <c r="K1016" s="39">
        <f t="shared" si="137"/>
        <v>1050</v>
      </c>
      <c r="L1016" s="39">
        <f t="shared" si="138"/>
        <v>154738</v>
      </c>
      <c r="M1016" s="40">
        <f t="shared" si="143"/>
        <v>29063</v>
      </c>
      <c r="N1016" s="41" t="str">
        <f t="shared" ca="1" si="144"/>
        <v>V 40</v>
      </c>
      <c r="O1016" s="41" t="str">
        <f t="shared" si="139"/>
        <v>M</v>
      </c>
      <c r="P1016" s="60" t="str">
        <f t="shared" si="140"/>
        <v>CPC-M</v>
      </c>
      <c r="Q1016" s="61"/>
    </row>
    <row r="1017" spans="1:17" ht="13">
      <c r="A1017" s="28">
        <v>196</v>
      </c>
      <c r="B1017" s="28">
        <v>126676</v>
      </c>
      <c r="C1017" s="129" t="s">
        <v>233</v>
      </c>
      <c r="D1017" s="128" t="s">
        <v>161</v>
      </c>
      <c r="E1017" s="128" t="s">
        <v>146</v>
      </c>
      <c r="F1017" s="29">
        <v>22206</v>
      </c>
      <c r="G1017" s="56" t="str">
        <f t="shared" ca="1" si="141"/>
        <v>V 60</v>
      </c>
      <c r="H1017" s="28">
        <f t="shared" ca="1" si="142"/>
        <v>60</v>
      </c>
      <c r="J1017" s="38" t="str">
        <f t="shared" si="136"/>
        <v>Manuela Carrillo</v>
      </c>
      <c r="K1017" s="39">
        <f t="shared" si="137"/>
        <v>196</v>
      </c>
      <c r="L1017" s="39">
        <f t="shared" si="138"/>
        <v>126676</v>
      </c>
      <c r="M1017" s="40">
        <f t="shared" si="143"/>
        <v>22206</v>
      </c>
      <c r="N1017" s="41" t="str">
        <f t="shared" ca="1" si="144"/>
        <v>V 60</v>
      </c>
      <c r="O1017" s="41" t="str">
        <f t="shared" si="139"/>
        <v>F</v>
      </c>
      <c r="P1017" s="60" t="str">
        <f t="shared" si="140"/>
        <v>CPC-M</v>
      </c>
      <c r="Q1017" s="61"/>
    </row>
    <row r="1018" spans="1:17" ht="13">
      <c r="A1018" s="28">
        <v>1055</v>
      </c>
      <c r="B1018" s="28">
        <v>153098</v>
      </c>
      <c r="C1018" s="129" t="s">
        <v>859</v>
      </c>
      <c r="D1018" s="128" t="s">
        <v>161</v>
      </c>
      <c r="E1018" s="128" t="s">
        <v>145</v>
      </c>
      <c r="F1018" s="29">
        <v>29977</v>
      </c>
      <c r="G1018" s="56" t="str">
        <f t="shared" ca="1" si="141"/>
        <v>V 35</v>
      </c>
      <c r="H1018" s="28">
        <f t="shared" ca="1" si="142"/>
        <v>39</v>
      </c>
      <c r="J1018" s="38" t="str">
        <f t="shared" si="136"/>
        <v>Luís Alberto Sousa</v>
      </c>
      <c r="K1018" s="39">
        <f t="shared" si="137"/>
        <v>1055</v>
      </c>
      <c r="L1018" s="39">
        <f t="shared" si="138"/>
        <v>153098</v>
      </c>
      <c r="M1018" s="40">
        <f t="shared" si="143"/>
        <v>29977</v>
      </c>
      <c r="N1018" s="41" t="str">
        <f t="shared" ca="1" si="144"/>
        <v>V 35</v>
      </c>
      <c r="O1018" s="41" t="str">
        <f t="shared" si="139"/>
        <v>M</v>
      </c>
      <c r="P1018" s="60" t="str">
        <f t="shared" si="140"/>
        <v>CPC-M</v>
      </c>
      <c r="Q1018" s="61"/>
    </row>
    <row r="1019" spans="1:17" ht="13">
      <c r="A1019" s="28">
        <v>1054</v>
      </c>
      <c r="B1019" s="28">
        <v>160674</v>
      </c>
      <c r="C1019" s="129" t="s">
        <v>1603</v>
      </c>
      <c r="D1019" s="128" t="s">
        <v>161</v>
      </c>
      <c r="E1019" s="128" t="s">
        <v>145</v>
      </c>
      <c r="F1019" s="29">
        <v>31088</v>
      </c>
      <c r="G1019" s="56" t="str">
        <f t="shared" ca="1" si="141"/>
        <v>V 35</v>
      </c>
      <c r="H1019" s="28">
        <f t="shared" ca="1" si="142"/>
        <v>36</v>
      </c>
      <c r="J1019" s="38" t="str">
        <f t="shared" si="136"/>
        <v>Hugo Meneses</v>
      </c>
      <c r="K1019" s="39">
        <f t="shared" si="137"/>
        <v>1054</v>
      </c>
      <c r="L1019" s="39">
        <f t="shared" si="138"/>
        <v>160674</v>
      </c>
      <c r="M1019" s="40">
        <f t="shared" si="143"/>
        <v>31088</v>
      </c>
      <c r="N1019" s="41" t="str">
        <f t="shared" ca="1" si="144"/>
        <v>V 35</v>
      </c>
      <c r="O1019" s="41" t="str">
        <f t="shared" si="139"/>
        <v>M</v>
      </c>
      <c r="P1019" s="60" t="str">
        <f t="shared" si="140"/>
        <v>CPC-M</v>
      </c>
      <c r="Q1019" s="61"/>
    </row>
    <row r="1020" spans="1:17" ht="13">
      <c r="A1020" s="28">
        <v>867</v>
      </c>
      <c r="B1020" s="28">
        <v>148779</v>
      </c>
      <c r="C1020" s="129" t="s">
        <v>987</v>
      </c>
      <c r="D1020" s="128" t="s">
        <v>148</v>
      </c>
      <c r="E1020" s="128" t="s">
        <v>145</v>
      </c>
      <c r="F1020" s="29">
        <v>20101</v>
      </c>
      <c r="G1020" s="56" t="str">
        <f t="shared" ca="1" si="141"/>
        <v>V 65</v>
      </c>
      <c r="H1020" s="28">
        <f t="shared" ca="1" si="142"/>
        <v>66</v>
      </c>
      <c r="J1020" s="38" t="str">
        <f t="shared" si="136"/>
        <v>Luís Mendonça</v>
      </c>
      <c r="K1020" s="39">
        <f t="shared" si="137"/>
        <v>867</v>
      </c>
      <c r="L1020" s="39">
        <f t="shared" si="138"/>
        <v>148779</v>
      </c>
      <c r="M1020" s="40">
        <f t="shared" si="143"/>
        <v>20101</v>
      </c>
      <c r="N1020" s="41" t="str">
        <f t="shared" ca="1" si="144"/>
        <v>V 65</v>
      </c>
      <c r="O1020" s="41" t="str">
        <f t="shared" si="139"/>
        <v>M</v>
      </c>
      <c r="P1020" s="60" t="str">
        <f t="shared" si="140"/>
        <v>IND-M</v>
      </c>
      <c r="Q1020" s="61"/>
    </row>
    <row r="1021" spans="1:17" ht="13">
      <c r="A1021" s="28">
        <v>906</v>
      </c>
      <c r="B1021" s="28">
        <v>149358</v>
      </c>
      <c r="C1021" s="129" t="s">
        <v>781</v>
      </c>
      <c r="D1021" s="128" t="s">
        <v>671</v>
      </c>
      <c r="E1021" s="128" t="s">
        <v>145</v>
      </c>
      <c r="F1021" s="29">
        <v>36503</v>
      </c>
      <c r="G1021" s="56" t="str">
        <f t="shared" ca="1" si="141"/>
        <v>sub 23</v>
      </c>
      <c r="H1021" s="28">
        <f t="shared" ca="1" si="142"/>
        <v>21</v>
      </c>
      <c r="J1021" s="38" t="str">
        <f t="shared" si="136"/>
        <v>Carlos D. Silva</v>
      </c>
      <c r="K1021" s="39">
        <f t="shared" si="137"/>
        <v>906</v>
      </c>
      <c r="L1021" s="39">
        <f t="shared" si="138"/>
        <v>149358</v>
      </c>
      <c r="M1021" s="40">
        <f t="shared" si="143"/>
        <v>36503</v>
      </c>
      <c r="N1021" s="41" t="str">
        <f t="shared" ca="1" si="144"/>
        <v>sub 23</v>
      </c>
      <c r="O1021" s="41" t="str">
        <f t="shared" si="139"/>
        <v>M</v>
      </c>
      <c r="P1021" s="60" t="str">
        <f t="shared" si="140"/>
        <v>VIP-RC</v>
      </c>
      <c r="Q1021" s="61"/>
    </row>
    <row r="1022" spans="1:17" ht="13">
      <c r="A1022" s="28">
        <v>268</v>
      </c>
      <c r="B1022" s="28">
        <v>126280</v>
      </c>
      <c r="C1022" s="129" t="s">
        <v>599</v>
      </c>
      <c r="D1022" s="128" t="s">
        <v>671</v>
      </c>
      <c r="E1022" s="128" t="s">
        <v>146</v>
      </c>
      <c r="F1022" s="29">
        <v>29027</v>
      </c>
      <c r="G1022" s="56" t="str">
        <f t="shared" ca="1" si="141"/>
        <v>V 40</v>
      </c>
      <c r="H1022" s="28">
        <f t="shared" ca="1" si="142"/>
        <v>41</v>
      </c>
      <c r="J1022" s="38" t="str">
        <f t="shared" si="136"/>
        <v>Belinda Rodrigues</v>
      </c>
      <c r="K1022" s="39">
        <f t="shared" si="137"/>
        <v>268</v>
      </c>
      <c r="L1022" s="39">
        <f t="shared" si="138"/>
        <v>126280</v>
      </c>
      <c r="M1022" s="40">
        <f t="shared" si="143"/>
        <v>29027</v>
      </c>
      <c r="N1022" s="41" t="str">
        <f t="shared" ca="1" si="144"/>
        <v>V 40</v>
      </c>
      <c r="O1022" s="41" t="str">
        <f t="shared" si="139"/>
        <v>F</v>
      </c>
      <c r="P1022" s="60" t="str">
        <f t="shared" si="140"/>
        <v>VIP-RC</v>
      </c>
      <c r="Q1022" s="61"/>
    </row>
    <row r="1023" spans="1:17" ht="13">
      <c r="A1023" s="28">
        <v>875</v>
      </c>
      <c r="B1023" s="28">
        <v>130180</v>
      </c>
      <c r="C1023" s="129" t="s">
        <v>654</v>
      </c>
      <c r="D1023" s="128" t="s">
        <v>671</v>
      </c>
      <c r="E1023" s="128" t="s">
        <v>145</v>
      </c>
      <c r="F1023" s="29">
        <v>21987</v>
      </c>
      <c r="G1023" s="56" t="str">
        <f t="shared" ca="1" si="141"/>
        <v>V 60</v>
      </c>
      <c r="H1023" s="28">
        <f t="shared" ca="1" si="142"/>
        <v>61</v>
      </c>
      <c r="J1023" s="38" t="str">
        <f t="shared" si="136"/>
        <v>Hodório Pereira</v>
      </c>
      <c r="K1023" s="39">
        <f t="shared" si="137"/>
        <v>875</v>
      </c>
      <c r="L1023" s="39">
        <f t="shared" si="138"/>
        <v>130180</v>
      </c>
      <c r="M1023" s="40">
        <f t="shared" si="143"/>
        <v>21987</v>
      </c>
      <c r="N1023" s="41" t="str">
        <f t="shared" ca="1" si="144"/>
        <v>V 60</v>
      </c>
      <c r="O1023" s="41" t="str">
        <f t="shared" si="139"/>
        <v>M</v>
      </c>
      <c r="P1023" s="60" t="str">
        <f t="shared" si="140"/>
        <v>VIP-RC</v>
      </c>
      <c r="Q1023" s="61"/>
    </row>
    <row r="1024" spans="1:17" ht="13">
      <c r="A1024" s="28">
        <v>910</v>
      </c>
      <c r="B1024" s="28">
        <v>129182</v>
      </c>
      <c r="C1024" s="129" t="s">
        <v>257</v>
      </c>
      <c r="D1024" s="128" t="s">
        <v>671</v>
      </c>
      <c r="E1024" s="128" t="s">
        <v>145</v>
      </c>
      <c r="F1024" s="29">
        <v>33679</v>
      </c>
      <c r="G1024" s="56" t="str">
        <f t="shared" ca="1" si="141"/>
        <v>Sénior</v>
      </c>
      <c r="H1024" s="28">
        <f t="shared" ca="1" si="142"/>
        <v>29</v>
      </c>
      <c r="J1024" s="38" t="str">
        <f t="shared" si="136"/>
        <v>Manuel Fernandes</v>
      </c>
      <c r="K1024" s="39">
        <f t="shared" si="137"/>
        <v>910</v>
      </c>
      <c r="L1024" s="39">
        <f t="shared" si="138"/>
        <v>129182</v>
      </c>
      <c r="M1024" s="40">
        <f t="shared" si="143"/>
        <v>33679</v>
      </c>
      <c r="N1024" s="41" t="str">
        <f t="shared" ca="1" si="144"/>
        <v>Sénior</v>
      </c>
      <c r="O1024" s="41" t="str">
        <f t="shared" si="139"/>
        <v>M</v>
      </c>
      <c r="P1024" s="60" t="str">
        <f t="shared" si="140"/>
        <v>VIP-RC</v>
      </c>
      <c r="Q1024" s="61"/>
    </row>
    <row r="1025" spans="1:17" ht="13">
      <c r="A1025" s="28">
        <v>204</v>
      </c>
      <c r="B1025" s="28">
        <v>124956</v>
      </c>
      <c r="C1025" s="129" t="s">
        <v>1281</v>
      </c>
      <c r="D1025" s="128" t="s">
        <v>124</v>
      </c>
      <c r="E1025" s="128" t="s">
        <v>146</v>
      </c>
      <c r="F1025" s="29">
        <v>35568</v>
      </c>
      <c r="G1025" s="56" t="str">
        <f t="shared" ca="1" si="141"/>
        <v>Sénior</v>
      </c>
      <c r="H1025" s="28">
        <f t="shared" ca="1" si="142"/>
        <v>23</v>
      </c>
      <c r="J1025" s="38" t="str">
        <f t="shared" si="136"/>
        <v>Carlota Spínola</v>
      </c>
      <c r="K1025" s="39">
        <f t="shared" si="137"/>
        <v>204</v>
      </c>
      <c r="L1025" s="39">
        <f t="shared" si="138"/>
        <v>124956</v>
      </c>
      <c r="M1025" s="40">
        <f t="shared" si="143"/>
        <v>35568</v>
      </c>
      <c r="N1025" s="41" t="str">
        <f t="shared" ca="1" si="144"/>
        <v>Sénior</v>
      </c>
      <c r="O1025" s="41" t="str">
        <f t="shared" si="139"/>
        <v>F</v>
      </c>
      <c r="P1025" s="60" t="str">
        <f t="shared" si="140"/>
        <v>CSM</v>
      </c>
      <c r="Q1025" s="61"/>
    </row>
    <row r="1026" spans="1:17" ht="13">
      <c r="A1026" s="28">
        <v>205</v>
      </c>
      <c r="B1026" s="28">
        <v>124634</v>
      </c>
      <c r="C1026" s="129" t="s">
        <v>961</v>
      </c>
      <c r="D1026" s="128" t="s">
        <v>124</v>
      </c>
      <c r="E1026" s="128" t="s">
        <v>146</v>
      </c>
      <c r="F1026" s="29">
        <v>35979</v>
      </c>
      <c r="G1026" s="56" t="str">
        <f t="shared" ca="1" si="141"/>
        <v>Sénior</v>
      </c>
      <c r="H1026" s="28">
        <f t="shared" ca="1" si="142"/>
        <v>22</v>
      </c>
      <c r="J1026" s="38" t="str">
        <f t="shared" ref="J1026:J1089" si="145">C1026</f>
        <v>Catarina Rosa</v>
      </c>
      <c r="K1026" s="39">
        <f t="shared" ref="K1026:K1089" si="146">A1026</f>
        <v>205</v>
      </c>
      <c r="L1026" s="39">
        <f t="shared" ref="L1026:L1089" si="147">B1026</f>
        <v>124634</v>
      </c>
      <c r="M1026" s="40">
        <f t="shared" si="143"/>
        <v>35979</v>
      </c>
      <c r="N1026" s="41" t="str">
        <f t="shared" ca="1" si="144"/>
        <v>Sénior</v>
      </c>
      <c r="O1026" s="41" t="str">
        <f t="shared" ref="O1026:O1089" si="148">E1026</f>
        <v>F</v>
      </c>
      <c r="P1026" s="60" t="str">
        <f t="shared" ref="P1026:P1089" si="149">D1026</f>
        <v>CSM</v>
      </c>
      <c r="Q1026" s="61"/>
    </row>
    <row r="1027" spans="1:17" ht="13">
      <c r="A1027" s="28">
        <v>1572</v>
      </c>
      <c r="B1027" s="28">
        <v>163408</v>
      </c>
      <c r="C1027" s="129" t="s">
        <v>1429</v>
      </c>
      <c r="D1027" s="128" t="s">
        <v>124</v>
      </c>
      <c r="E1027" s="128" t="s">
        <v>146</v>
      </c>
      <c r="F1027" s="29">
        <v>38304</v>
      </c>
      <c r="G1027" s="5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B",IF(YEAR(TODAY())-YEAR(F1027)&lt;14,"Infantil",IF(YEAR(TODAY())-YEAR(F1027)&lt;16,"Iniciado",IF(YEAR(TODAY())-YEAR(F1027)&lt;18,"Juvenil",IF(YEAR(TODAY())-YEAR(F1027)&lt;20,"Júnior",IF(YEAR(TODAY())-YEAR(F1027)&lt;23,"sub 23",IF(ROUNDDOWN(INT(TODAY()-F1027)/365.25,0)&lt;35,"Sénior",IF(ROUNDDOWN(INT(TODAY()-F1027)/365.25,0)&lt;40,"V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65",IF(ROUNDDOWN(INT(TODAY()-F1027)/365.25,0)&lt;75,"V 70",IF(ROUNDDOWN(INT(TODAY()-F1027)/365.25,0)&lt;80,"V 75",IF(ROUNDDOWN(INT(TODAY()-F1027)/365.25,0)&lt;85,"V 80",IF(ROUNDDOWN(INT(TODAY()-F1027)/365.25,0)&lt;90,"V 85",IF(ROUNDDOWN(INT(TODAY()-F1027)/365.25,0)&lt;95,"V 90",IF(ROUNDDOWN(INT(TODAY()-F1027)/365.25,0)&lt;100,"V 95",IF(ROUNDDOWN(INT(TODAY()-F1027)/365.25,0)&gt;=100,"V 100",""))))))))))))))))))))))),"")</f>
        <v>Juvenil</v>
      </c>
      <c r="H1027" s="28">
        <f t="shared" ref="H1027:H1090" ca="1" si="151">IFERROR(IF($A1027&gt;0,ROUNDDOWN(INT(TODAY()-F1027)/365.25,0),""),"")</f>
        <v>16</v>
      </c>
      <c r="J1027" s="38" t="str">
        <f t="shared" si="145"/>
        <v>Valeska Abreu</v>
      </c>
      <c r="K1027" s="39">
        <f t="shared" si="146"/>
        <v>1572</v>
      </c>
      <c r="L1027" s="39">
        <f t="shared" si="147"/>
        <v>163408</v>
      </c>
      <c r="M1027" s="40">
        <f t="shared" ref="M1027:M1090" si="152">F1027</f>
        <v>38304</v>
      </c>
      <c r="N1027" s="41" t="str">
        <f t="shared" ref="N1027:N1090" ca="1" si="153">G1027</f>
        <v>Juvenil</v>
      </c>
      <c r="O1027" s="41" t="str">
        <f t="shared" si="148"/>
        <v>F</v>
      </c>
      <c r="P1027" s="60" t="str">
        <f t="shared" si="149"/>
        <v>CSM</v>
      </c>
      <c r="Q1027" s="61"/>
    </row>
    <row r="1028" spans="1:17" ht="13">
      <c r="A1028" s="28">
        <v>2226</v>
      </c>
      <c r="B1028" s="28">
        <v>163536</v>
      </c>
      <c r="C1028" s="129" t="s">
        <v>1430</v>
      </c>
      <c r="D1028" s="128" t="s">
        <v>124</v>
      </c>
      <c r="E1028" s="128" t="s">
        <v>145</v>
      </c>
      <c r="F1028" s="29">
        <v>40779</v>
      </c>
      <c r="G1028" s="56" t="str">
        <f t="shared" ca="1" si="150"/>
        <v>Benjamim B</v>
      </c>
      <c r="H1028" s="28">
        <f t="shared" ca="1" si="151"/>
        <v>9</v>
      </c>
      <c r="J1028" s="38" t="str">
        <f t="shared" si="145"/>
        <v>Diego Abreu</v>
      </c>
      <c r="K1028" s="39">
        <f t="shared" si="146"/>
        <v>2226</v>
      </c>
      <c r="L1028" s="39">
        <f t="shared" si="147"/>
        <v>163536</v>
      </c>
      <c r="M1028" s="40">
        <f t="shared" si="152"/>
        <v>40779</v>
      </c>
      <c r="N1028" s="41" t="str">
        <f t="shared" ca="1" si="153"/>
        <v>Benjamim B</v>
      </c>
      <c r="O1028" s="41" t="str">
        <f t="shared" si="148"/>
        <v>M</v>
      </c>
      <c r="P1028" s="60" t="str">
        <f t="shared" si="149"/>
        <v>CSM</v>
      </c>
      <c r="Q1028" s="61"/>
    </row>
    <row r="1029" spans="1:17" ht="13">
      <c r="A1029" s="28">
        <v>2231</v>
      </c>
      <c r="B1029" s="28">
        <v>163403</v>
      </c>
      <c r="C1029" s="129" t="s">
        <v>1431</v>
      </c>
      <c r="D1029" s="128" t="s">
        <v>124</v>
      </c>
      <c r="E1029" s="128" t="s">
        <v>145</v>
      </c>
      <c r="F1029" s="29">
        <v>41624</v>
      </c>
      <c r="G1029" s="56" t="str">
        <f t="shared" ca="1" si="150"/>
        <v>Benjamim A</v>
      </c>
      <c r="H1029" s="28">
        <f t="shared" ca="1" si="151"/>
        <v>7</v>
      </c>
      <c r="J1029" s="38" t="str">
        <f t="shared" si="145"/>
        <v>Gabriel Linares</v>
      </c>
      <c r="K1029" s="39">
        <f t="shared" si="146"/>
        <v>2231</v>
      </c>
      <c r="L1029" s="39">
        <f t="shared" si="147"/>
        <v>163403</v>
      </c>
      <c r="M1029" s="40">
        <f t="shared" si="152"/>
        <v>41624</v>
      </c>
      <c r="N1029" s="41" t="str">
        <f t="shared" ca="1" si="153"/>
        <v>Benjamim A</v>
      </c>
      <c r="O1029" s="41" t="str">
        <f t="shared" si="148"/>
        <v>M</v>
      </c>
      <c r="P1029" s="60" t="str">
        <f t="shared" si="149"/>
        <v>CSM</v>
      </c>
      <c r="Q1029" s="61"/>
    </row>
    <row r="1030" spans="1:17" ht="13">
      <c r="A1030" s="28">
        <v>2038</v>
      </c>
      <c r="B1030" s="28">
        <v>163309</v>
      </c>
      <c r="C1030" s="129" t="s">
        <v>1435</v>
      </c>
      <c r="D1030" s="128" t="s">
        <v>124</v>
      </c>
      <c r="E1030" s="128" t="s">
        <v>145</v>
      </c>
      <c r="F1030" s="29">
        <v>40064</v>
      </c>
      <c r="G1030" s="56" t="str">
        <f t="shared" ca="1" si="150"/>
        <v>Infantil</v>
      </c>
      <c r="H1030" s="28">
        <f t="shared" ca="1" si="151"/>
        <v>11</v>
      </c>
      <c r="J1030" s="38" t="str">
        <f t="shared" si="145"/>
        <v>Samuel Linares</v>
      </c>
      <c r="K1030" s="39">
        <f t="shared" si="146"/>
        <v>2038</v>
      </c>
      <c r="L1030" s="39">
        <f t="shared" si="147"/>
        <v>163309</v>
      </c>
      <c r="M1030" s="40">
        <f t="shared" si="152"/>
        <v>40064</v>
      </c>
      <c r="N1030" s="41" t="str">
        <f t="shared" ca="1" si="153"/>
        <v>Infantil</v>
      </c>
      <c r="O1030" s="41" t="str">
        <f t="shared" si="148"/>
        <v>M</v>
      </c>
      <c r="P1030" s="60" t="str">
        <f t="shared" si="149"/>
        <v>CSM</v>
      </c>
      <c r="Q1030" s="61"/>
    </row>
    <row r="1031" spans="1:17" ht="13">
      <c r="A1031" s="28">
        <v>873</v>
      </c>
      <c r="B1031" s="28">
        <v>164047</v>
      </c>
      <c r="C1031" s="129" t="s">
        <v>1455</v>
      </c>
      <c r="D1031" s="128" t="s">
        <v>1069</v>
      </c>
      <c r="E1031" s="128" t="s">
        <v>145</v>
      </c>
      <c r="F1031" s="29">
        <v>19518</v>
      </c>
      <c r="G1031" s="56" t="str">
        <f t="shared" ca="1" si="150"/>
        <v>V 65</v>
      </c>
      <c r="H1031" s="28">
        <f t="shared" ca="1" si="151"/>
        <v>67</v>
      </c>
      <c r="J1031" s="38" t="str">
        <f t="shared" si="145"/>
        <v>Petr Danich</v>
      </c>
      <c r="K1031" s="39">
        <f t="shared" si="146"/>
        <v>873</v>
      </c>
      <c r="L1031" s="39">
        <f t="shared" si="147"/>
        <v>164047</v>
      </c>
      <c r="M1031" s="40">
        <f t="shared" si="152"/>
        <v>19518</v>
      </c>
      <c r="N1031" s="41" t="str">
        <f t="shared" ca="1" si="153"/>
        <v>V 65</v>
      </c>
      <c r="O1031" s="41" t="str">
        <f t="shared" si="148"/>
        <v>M</v>
      </c>
      <c r="P1031" s="60" t="str">
        <f t="shared" si="149"/>
        <v>CEOL</v>
      </c>
      <c r="Q1031" s="61"/>
    </row>
    <row r="1032" spans="1:17" ht="13">
      <c r="A1032" s="28">
        <v>1077</v>
      </c>
      <c r="B1032" s="28">
        <v>134850</v>
      </c>
      <c r="C1032" s="129" t="s">
        <v>410</v>
      </c>
      <c r="D1032" s="128" t="s">
        <v>406</v>
      </c>
      <c r="E1032" s="128" t="s">
        <v>145</v>
      </c>
      <c r="F1032" s="29">
        <v>29429</v>
      </c>
      <c r="G1032" s="56" t="str">
        <f t="shared" ca="1" si="150"/>
        <v>V 40</v>
      </c>
      <c r="H1032" s="28">
        <f t="shared" ca="1" si="151"/>
        <v>40</v>
      </c>
      <c r="J1032" s="38" t="str">
        <f t="shared" si="145"/>
        <v>Filipe Teles</v>
      </c>
      <c r="K1032" s="39">
        <f t="shared" si="146"/>
        <v>1077</v>
      </c>
      <c r="L1032" s="39">
        <f t="shared" si="147"/>
        <v>134850</v>
      </c>
      <c r="M1032" s="40">
        <f t="shared" si="152"/>
        <v>29429</v>
      </c>
      <c r="N1032" s="41" t="str">
        <f t="shared" ca="1" si="153"/>
        <v>V 40</v>
      </c>
      <c r="O1032" s="41" t="str">
        <f t="shared" si="148"/>
        <v>M</v>
      </c>
      <c r="P1032" s="60" t="str">
        <f t="shared" si="149"/>
        <v>CNSV</v>
      </c>
      <c r="Q1032" s="61"/>
    </row>
    <row r="1033" spans="1:17" ht="13">
      <c r="A1033" s="28">
        <v>1767</v>
      </c>
      <c r="B1033" s="28">
        <v>150665</v>
      </c>
      <c r="C1033" s="129" t="s">
        <v>795</v>
      </c>
      <c r="D1033" s="128" t="s">
        <v>406</v>
      </c>
      <c r="E1033" s="128" t="s">
        <v>146</v>
      </c>
      <c r="F1033" s="29">
        <v>39159</v>
      </c>
      <c r="G1033" s="56" t="str">
        <f t="shared" ca="1" si="150"/>
        <v>Iniciado</v>
      </c>
      <c r="H1033" s="28">
        <f t="shared" ca="1" si="151"/>
        <v>14</v>
      </c>
      <c r="J1033" s="38" t="str">
        <f t="shared" si="145"/>
        <v>Sara Amaral</v>
      </c>
      <c r="K1033" s="39">
        <f t="shared" si="146"/>
        <v>1767</v>
      </c>
      <c r="L1033" s="39">
        <f t="shared" si="147"/>
        <v>150665</v>
      </c>
      <c r="M1033" s="40">
        <f t="shared" si="152"/>
        <v>39159</v>
      </c>
      <c r="N1033" s="41" t="str">
        <f t="shared" ca="1" si="153"/>
        <v>Iniciado</v>
      </c>
      <c r="O1033" s="41" t="str">
        <f t="shared" si="148"/>
        <v>F</v>
      </c>
      <c r="P1033" s="60" t="str">
        <f t="shared" si="149"/>
        <v>CNSV</v>
      </c>
      <c r="Q1033" s="61"/>
    </row>
    <row r="1034" spans="1:17" ht="13">
      <c r="A1034" s="28">
        <v>1085</v>
      </c>
      <c r="B1034" s="28">
        <v>147527</v>
      </c>
      <c r="C1034" s="129" t="s">
        <v>828</v>
      </c>
      <c r="D1034" s="128" t="s">
        <v>406</v>
      </c>
      <c r="E1034" s="128" t="s">
        <v>145</v>
      </c>
      <c r="F1034" s="29">
        <v>30161</v>
      </c>
      <c r="G1034" s="56" t="str">
        <f t="shared" ca="1" si="150"/>
        <v>V 35</v>
      </c>
      <c r="H1034" s="28">
        <f t="shared" ca="1" si="151"/>
        <v>38</v>
      </c>
      <c r="J1034" s="38" t="str">
        <f t="shared" si="145"/>
        <v>Albino Batista</v>
      </c>
      <c r="K1034" s="39">
        <f t="shared" si="146"/>
        <v>1085</v>
      </c>
      <c r="L1034" s="39">
        <f t="shared" si="147"/>
        <v>147527</v>
      </c>
      <c r="M1034" s="40">
        <f t="shared" si="152"/>
        <v>30161</v>
      </c>
      <c r="N1034" s="41" t="str">
        <f t="shared" ca="1" si="153"/>
        <v>V 35</v>
      </c>
      <c r="O1034" s="41" t="str">
        <f t="shared" si="148"/>
        <v>M</v>
      </c>
      <c r="P1034" s="60" t="str">
        <f t="shared" si="149"/>
        <v>CNSV</v>
      </c>
      <c r="Q1034" s="61"/>
    </row>
    <row r="1035" spans="1:17" ht="13">
      <c r="A1035" s="28">
        <v>189</v>
      </c>
      <c r="B1035" s="28">
        <v>146140</v>
      </c>
      <c r="C1035" s="129" t="s">
        <v>583</v>
      </c>
      <c r="D1035" s="128" t="s">
        <v>406</v>
      </c>
      <c r="E1035" s="128" t="s">
        <v>146</v>
      </c>
      <c r="F1035" s="29">
        <v>27119</v>
      </c>
      <c r="G1035" s="56" t="str">
        <f t="shared" ca="1" si="150"/>
        <v>V 45</v>
      </c>
      <c r="H1035" s="28">
        <f t="shared" ca="1" si="151"/>
        <v>47</v>
      </c>
      <c r="J1035" s="38" t="str">
        <f t="shared" si="145"/>
        <v>Nélia Batista</v>
      </c>
      <c r="K1035" s="39">
        <f t="shared" si="146"/>
        <v>189</v>
      </c>
      <c r="L1035" s="39">
        <f t="shared" si="147"/>
        <v>146140</v>
      </c>
      <c r="M1035" s="40">
        <f t="shared" si="152"/>
        <v>27119</v>
      </c>
      <c r="N1035" s="41" t="str">
        <f t="shared" ca="1" si="153"/>
        <v>V 45</v>
      </c>
      <c r="O1035" s="41" t="str">
        <f t="shared" si="148"/>
        <v>F</v>
      </c>
      <c r="P1035" s="60" t="str">
        <f t="shared" si="149"/>
        <v>CNSV</v>
      </c>
      <c r="Q1035" s="61"/>
    </row>
    <row r="1036" spans="1:17" ht="13">
      <c r="A1036" s="28">
        <v>184</v>
      </c>
      <c r="B1036" s="28">
        <v>136623</v>
      </c>
      <c r="C1036" s="129" t="s">
        <v>429</v>
      </c>
      <c r="D1036" s="128" t="s">
        <v>406</v>
      </c>
      <c r="E1036" s="128" t="s">
        <v>146</v>
      </c>
      <c r="F1036" s="29">
        <v>27801</v>
      </c>
      <c r="G1036" s="56" t="str">
        <f t="shared" ca="1" si="150"/>
        <v>V 45</v>
      </c>
      <c r="H1036" s="28">
        <f t="shared" ca="1" si="151"/>
        <v>45</v>
      </c>
      <c r="J1036" s="38" t="str">
        <f t="shared" si="145"/>
        <v>Delina Gomes</v>
      </c>
      <c r="K1036" s="39">
        <f t="shared" si="146"/>
        <v>184</v>
      </c>
      <c r="L1036" s="39">
        <f t="shared" si="147"/>
        <v>136623</v>
      </c>
      <c r="M1036" s="40">
        <f t="shared" si="152"/>
        <v>27801</v>
      </c>
      <c r="N1036" s="41" t="str">
        <f t="shared" ca="1" si="153"/>
        <v>V 45</v>
      </c>
      <c r="O1036" s="41" t="str">
        <f t="shared" si="148"/>
        <v>F</v>
      </c>
      <c r="P1036" s="60" t="str">
        <f t="shared" si="149"/>
        <v>CNSV</v>
      </c>
      <c r="Q1036" s="61"/>
    </row>
    <row r="1037" spans="1:17" ht="13">
      <c r="A1037" s="28">
        <v>1088</v>
      </c>
      <c r="B1037" s="28">
        <v>152401</v>
      </c>
      <c r="C1037" s="129" t="s">
        <v>873</v>
      </c>
      <c r="D1037" s="128" t="s">
        <v>406</v>
      </c>
      <c r="E1037" s="128" t="s">
        <v>145</v>
      </c>
      <c r="F1037" s="29">
        <v>31802</v>
      </c>
      <c r="G1037" s="56" t="str">
        <f t="shared" ca="1" si="150"/>
        <v>Sénior</v>
      </c>
      <c r="H1037" s="28">
        <f t="shared" ca="1" si="151"/>
        <v>34</v>
      </c>
      <c r="J1037" s="38" t="str">
        <f t="shared" si="145"/>
        <v>Fábio Santos</v>
      </c>
      <c r="K1037" s="39">
        <f t="shared" si="146"/>
        <v>1088</v>
      </c>
      <c r="L1037" s="39">
        <f t="shared" si="147"/>
        <v>152401</v>
      </c>
      <c r="M1037" s="40">
        <f t="shared" si="152"/>
        <v>31802</v>
      </c>
      <c r="N1037" s="41" t="str">
        <f t="shared" ca="1" si="153"/>
        <v>Sénior</v>
      </c>
      <c r="O1037" s="41" t="str">
        <f t="shared" si="148"/>
        <v>M</v>
      </c>
      <c r="P1037" s="60" t="str">
        <f t="shared" si="149"/>
        <v>CNSV</v>
      </c>
      <c r="Q1037" s="61"/>
    </row>
    <row r="1038" spans="1:17" ht="13">
      <c r="A1038" s="28">
        <v>2076</v>
      </c>
      <c r="B1038" s="28">
        <v>156602</v>
      </c>
      <c r="C1038" s="129" t="s">
        <v>1063</v>
      </c>
      <c r="D1038" s="128" t="s">
        <v>406</v>
      </c>
      <c r="E1038" s="128" t="s">
        <v>146</v>
      </c>
      <c r="F1038" s="29">
        <v>40313</v>
      </c>
      <c r="G1038" s="56" t="str">
        <f t="shared" ca="1" si="150"/>
        <v>Benjamim B</v>
      </c>
      <c r="H1038" s="28">
        <f t="shared" ca="1" si="151"/>
        <v>10</v>
      </c>
      <c r="J1038" s="38" t="str">
        <f t="shared" si="145"/>
        <v>Carina Gomes</v>
      </c>
      <c r="K1038" s="39">
        <f t="shared" si="146"/>
        <v>2076</v>
      </c>
      <c r="L1038" s="39">
        <f t="shared" si="147"/>
        <v>156602</v>
      </c>
      <c r="M1038" s="40">
        <f t="shared" si="152"/>
        <v>40313</v>
      </c>
      <c r="N1038" s="41" t="str">
        <f t="shared" ca="1" si="153"/>
        <v>Benjamim B</v>
      </c>
      <c r="O1038" s="41" t="str">
        <f t="shared" si="148"/>
        <v>F</v>
      </c>
      <c r="P1038" s="60" t="str">
        <f t="shared" si="149"/>
        <v>CNSV</v>
      </c>
      <c r="Q1038" s="61"/>
    </row>
    <row r="1039" spans="1:17" ht="13">
      <c r="A1039" s="28">
        <v>1768</v>
      </c>
      <c r="B1039" s="28">
        <v>156601</v>
      </c>
      <c r="C1039" s="129" t="s">
        <v>1064</v>
      </c>
      <c r="D1039" s="128" t="s">
        <v>406</v>
      </c>
      <c r="E1039" s="128" t="s">
        <v>146</v>
      </c>
      <c r="F1039" s="29">
        <v>38867</v>
      </c>
      <c r="G1039" s="56" t="str">
        <f t="shared" ca="1" si="150"/>
        <v>Iniciado</v>
      </c>
      <c r="H1039" s="28">
        <f t="shared" ca="1" si="151"/>
        <v>14</v>
      </c>
      <c r="J1039" s="38" t="str">
        <f t="shared" si="145"/>
        <v>Ana Gomes</v>
      </c>
      <c r="K1039" s="39">
        <f t="shared" si="146"/>
        <v>1768</v>
      </c>
      <c r="L1039" s="39">
        <f t="shared" si="147"/>
        <v>156601</v>
      </c>
      <c r="M1039" s="40">
        <f t="shared" si="152"/>
        <v>38867</v>
      </c>
      <c r="N1039" s="41" t="str">
        <f t="shared" ca="1" si="153"/>
        <v>Iniciado</v>
      </c>
      <c r="O1039" s="41" t="str">
        <f t="shared" si="148"/>
        <v>F</v>
      </c>
      <c r="P1039" s="60" t="str">
        <f t="shared" si="149"/>
        <v>CNSV</v>
      </c>
      <c r="Q1039" s="61"/>
    </row>
    <row r="1040" spans="1:17" ht="13">
      <c r="A1040" s="28">
        <v>2077</v>
      </c>
      <c r="B1040" s="28">
        <v>147885</v>
      </c>
      <c r="C1040" s="129" t="s">
        <v>723</v>
      </c>
      <c r="D1040" s="128" t="s">
        <v>406</v>
      </c>
      <c r="E1040" s="128" t="s">
        <v>146</v>
      </c>
      <c r="F1040" s="29">
        <v>40333</v>
      </c>
      <c r="G1040" s="56" t="str">
        <f t="shared" ca="1" si="150"/>
        <v>Benjamim B</v>
      </c>
      <c r="H1040" s="28">
        <f t="shared" ca="1" si="151"/>
        <v>10</v>
      </c>
      <c r="J1040" s="38" t="str">
        <f t="shared" si="145"/>
        <v>Francisca Vieira</v>
      </c>
      <c r="K1040" s="39">
        <f t="shared" si="146"/>
        <v>2077</v>
      </c>
      <c r="L1040" s="39">
        <f t="shared" si="147"/>
        <v>147885</v>
      </c>
      <c r="M1040" s="40">
        <f t="shared" si="152"/>
        <v>40333</v>
      </c>
      <c r="N1040" s="41" t="str">
        <f t="shared" ca="1" si="153"/>
        <v>Benjamim B</v>
      </c>
      <c r="O1040" s="41" t="str">
        <f t="shared" si="148"/>
        <v>F</v>
      </c>
      <c r="P1040" s="60" t="str">
        <f t="shared" si="149"/>
        <v>CNSV</v>
      </c>
      <c r="Q1040" s="61"/>
    </row>
    <row r="1041" spans="1:17" ht="13">
      <c r="A1041" s="28">
        <v>2039</v>
      </c>
      <c r="B1041" s="28">
        <v>157734</v>
      </c>
      <c r="C1041" s="129" t="s">
        <v>1095</v>
      </c>
      <c r="D1041" s="128" t="s">
        <v>406</v>
      </c>
      <c r="E1041" s="128" t="s">
        <v>145</v>
      </c>
      <c r="F1041" s="29">
        <v>39560</v>
      </c>
      <c r="G1041" s="56" t="str">
        <f t="shared" ca="1" si="150"/>
        <v>Infantil</v>
      </c>
      <c r="H1041" s="28">
        <f t="shared" ca="1" si="151"/>
        <v>12</v>
      </c>
      <c r="J1041" s="38" t="str">
        <f t="shared" si="145"/>
        <v>Salvador Lopes</v>
      </c>
      <c r="K1041" s="39">
        <f t="shared" si="146"/>
        <v>2039</v>
      </c>
      <c r="L1041" s="39">
        <f t="shared" si="147"/>
        <v>157734</v>
      </c>
      <c r="M1041" s="40">
        <f t="shared" si="152"/>
        <v>39560</v>
      </c>
      <c r="N1041" s="41" t="str">
        <f t="shared" ca="1" si="153"/>
        <v>Infantil</v>
      </c>
      <c r="O1041" s="41" t="str">
        <f t="shared" si="148"/>
        <v>M</v>
      </c>
      <c r="P1041" s="60" t="str">
        <f t="shared" si="149"/>
        <v>CNSV</v>
      </c>
      <c r="Q1041" s="61"/>
    </row>
    <row r="1042" spans="1:17" ht="13">
      <c r="A1042" s="28">
        <v>1076</v>
      </c>
      <c r="B1042" s="28">
        <v>135089</v>
      </c>
      <c r="C1042" s="129" t="s">
        <v>1092</v>
      </c>
      <c r="D1042" s="128" t="s">
        <v>406</v>
      </c>
      <c r="E1042" s="128" t="s">
        <v>145</v>
      </c>
      <c r="F1042" s="29">
        <v>28845</v>
      </c>
      <c r="G1042" s="56" t="str">
        <f t="shared" ca="1" si="150"/>
        <v>V 40</v>
      </c>
      <c r="H1042" s="28">
        <f t="shared" ca="1" si="151"/>
        <v>42</v>
      </c>
      <c r="J1042" s="38" t="str">
        <f t="shared" si="145"/>
        <v>Eduardo Cadima</v>
      </c>
      <c r="K1042" s="39">
        <f t="shared" si="146"/>
        <v>1076</v>
      </c>
      <c r="L1042" s="39">
        <f t="shared" si="147"/>
        <v>135089</v>
      </c>
      <c r="M1042" s="40">
        <f t="shared" si="152"/>
        <v>28845</v>
      </c>
      <c r="N1042" s="41" t="str">
        <f t="shared" ca="1" si="153"/>
        <v>V 40</v>
      </c>
      <c r="O1042" s="41" t="str">
        <f t="shared" si="148"/>
        <v>M</v>
      </c>
      <c r="P1042" s="60" t="str">
        <f t="shared" si="149"/>
        <v>CNSV</v>
      </c>
      <c r="Q1042" s="61"/>
    </row>
    <row r="1043" spans="1:17" ht="13">
      <c r="A1043" s="28">
        <v>2078</v>
      </c>
      <c r="B1043" s="28">
        <v>155477</v>
      </c>
      <c r="C1043" s="129" t="s">
        <v>1043</v>
      </c>
      <c r="D1043" s="128" t="s">
        <v>406</v>
      </c>
      <c r="E1043" s="128" t="s">
        <v>146</v>
      </c>
      <c r="F1043" s="29">
        <v>40282</v>
      </c>
      <c r="G1043" s="56" t="str">
        <f t="shared" ca="1" si="150"/>
        <v>Benjamim B</v>
      </c>
      <c r="H1043" s="28">
        <f t="shared" ca="1" si="151"/>
        <v>11</v>
      </c>
      <c r="J1043" s="38" t="str">
        <f t="shared" si="145"/>
        <v>Mariana Machin</v>
      </c>
      <c r="K1043" s="39">
        <f t="shared" si="146"/>
        <v>2078</v>
      </c>
      <c r="L1043" s="39">
        <f t="shared" si="147"/>
        <v>155477</v>
      </c>
      <c r="M1043" s="40">
        <f t="shared" si="152"/>
        <v>40282</v>
      </c>
      <c r="N1043" s="41" t="str">
        <f t="shared" ca="1" si="153"/>
        <v>Benjamim B</v>
      </c>
      <c r="O1043" s="41" t="str">
        <f t="shared" si="148"/>
        <v>F</v>
      </c>
      <c r="P1043" s="60" t="str">
        <f t="shared" si="149"/>
        <v>CNSV</v>
      </c>
      <c r="Q1043" s="61"/>
    </row>
    <row r="1044" spans="1:17" ht="13">
      <c r="A1044" s="28">
        <v>178</v>
      </c>
      <c r="B1044" s="28">
        <v>141923</v>
      </c>
      <c r="C1044" s="129" t="s">
        <v>526</v>
      </c>
      <c r="D1044" s="128" t="s">
        <v>406</v>
      </c>
      <c r="E1044" s="128" t="s">
        <v>146</v>
      </c>
      <c r="F1044" s="29">
        <v>35580</v>
      </c>
      <c r="G1044" s="56" t="str">
        <f t="shared" ca="1" si="150"/>
        <v>Sénior</v>
      </c>
      <c r="H1044" s="28">
        <f t="shared" ca="1" si="151"/>
        <v>23</v>
      </c>
      <c r="J1044" s="38" t="str">
        <f t="shared" si="145"/>
        <v>Mariana Oliveira</v>
      </c>
      <c r="K1044" s="39">
        <f t="shared" si="146"/>
        <v>178</v>
      </c>
      <c r="L1044" s="39">
        <f t="shared" si="147"/>
        <v>141923</v>
      </c>
      <c r="M1044" s="40">
        <f t="shared" si="152"/>
        <v>35580</v>
      </c>
      <c r="N1044" s="41" t="str">
        <f t="shared" ca="1" si="153"/>
        <v>Sénior</v>
      </c>
      <c r="O1044" s="41" t="str">
        <f t="shared" si="148"/>
        <v>F</v>
      </c>
      <c r="P1044" s="60" t="str">
        <f t="shared" si="149"/>
        <v>CNSV</v>
      </c>
      <c r="Q1044" s="61"/>
    </row>
    <row r="1045" spans="1:17" ht="13">
      <c r="A1045" s="28">
        <v>185</v>
      </c>
      <c r="B1045" s="28">
        <v>158188</v>
      </c>
      <c r="C1045" s="129" t="s">
        <v>1089</v>
      </c>
      <c r="D1045" s="128" t="s">
        <v>406</v>
      </c>
      <c r="E1045" s="128" t="s">
        <v>146</v>
      </c>
      <c r="F1045" s="29">
        <v>29434</v>
      </c>
      <c r="G1045" s="56" t="str">
        <f t="shared" ca="1" si="150"/>
        <v>V 40</v>
      </c>
      <c r="H1045" s="28">
        <f t="shared" ca="1" si="151"/>
        <v>40</v>
      </c>
      <c r="J1045" s="38" t="str">
        <f t="shared" si="145"/>
        <v>Vera Rodrigues</v>
      </c>
      <c r="K1045" s="39">
        <f t="shared" si="146"/>
        <v>185</v>
      </c>
      <c r="L1045" s="39">
        <f t="shared" si="147"/>
        <v>158188</v>
      </c>
      <c r="M1045" s="40">
        <f t="shared" si="152"/>
        <v>29434</v>
      </c>
      <c r="N1045" s="41" t="str">
        <f t="shared" ca="1" si="153"/>
        <v>V 40</v>
      </c>
      <c r="O1045" s="41" t="str">
        <f t="shared" si="148"/>
        <v>F</v>
      </c>
      <c r="P1045" s="60" t="str">
        <f t="shared" si="149"/>
        <v>CNSV</v>
      </c>
      <c r="Q1045" s="61"/>
    </row>
    <row r="1046" spans="1:17" ht="13">
      <c r="A1046" s="28">
        <v>1087</v>
      </c>
      <c r="B1046" s="28">
        <v>147262</v>
      </c>
      <c r="C1046" s="129" t="s">
        <v>603</v>
      </c>
      <c r="D1046" s="128" t="s">
        <v>406</v>
      </c>
      <c r="E1046" s="128" t="s">
        <v>145</v>
      </c>
      <c r="F1046" s="29">
        <v>32810</v>
      </c>
      <c r="G1046" s="56" t="str">
        <f t="shared" ca="1" si="150"/>
        <v>Sénior</v>
      </c>
      <c r="H1046" s="28">
        <f t="shared" ca="1" si="151"/>
        <v>31</v>
      </c>
      <c r="J1046" s="38" t="str">
        <f t="shared" si="145"/>
        <v>Domingos Sousa</v>
      </c>
      <c r="K1046" s="39">
        <f t="shared" si="146"/>
        <v>1087</v>
      </c>
      <c r="L1046" s="39">
        <f t="shared" si="147"/>
        <v>147262</v>
      </c>
      <c r="M1046" s="40">
        <f t="shared" si="152"/>
        <v>32810</v>
      </c>
      <c r="N1046" s="41" t="str">
        <f t="shared" ca="1" si="153"/>
        <v>Sénior</v>
      </c>
      <c r="O1046" s="41" t="str">
        <f t="shared" si="148"/>
        <v>M</v>
      </c>
      <c r="P1046" s="60" t="str">
        <f t="shared" si="149"/>
        <v>CNSV</v>
      </c>
      <c r="Q1046" s="61"/>
    </row>
    <row r="1047" spans="1:17" ht="13">
      <c r="A1047" s="28">
        <v>186</v>
      </c>
      <c r="B1047" s="28">
        <v>136617</v>
      </c>
      <c r="C1047" s="129" t="s">
        <v>431</v>
      </c>
      <c r="D1047" s="128" t="s">
        <v>406</v>
      </c>
      <c r="E1047" s="128" t="s">
        <v>146</v>
      </c>
      <c r="F1047" s="29">
        <v>29239</v>
      </c>
      <c r="G1047" s="56" t="str">
        <f t="shared" ca="1" si="150"/>
        <v>V 40</v>
      </c>
      <c r="H1047" s="28">
        <f t="shared" ca="1" si="151"/>
        <v>41</v>
      </c>
      <c r="J1047" s="38" t="str">
        <f t="shared" si="145"/>
        <v>Sandra Capontes</v>
      </c>
      <c r="K1047" s="39">
        <f t="shared" si="146"/>
        <v>186</v>
      </c>
      <c r="L1047" s="39">
        <f t="shared" si="147"/>
        <v>136617</v>
      </c>
      <c r="M1047" s="40">
        <f t="shared" si="152"/>
        <v>29239</v>
      </c>
      <c r="N1047" s="41" t="str">
        <f t="shared" ca="1" si="153"/>
        <v>V 40</v>
      </c>
      <c r="O1047" s="41" t="str">
        <f t="shared" si="148"/>
        <v>F</v>
      </c>
      <c r="P1047" s="60" t="str">
        <f t="shared" si="149"/>
        <v>CNSV</v>
      </c>
      <c r="Q1047" s="61"/>
    </row>
    <row r="1048" spans="1:17" ht="13">
      <c r="A1048" s="28">
        <v>1084</v>
      </c>
      <c r="B1048" s="28">
        <v>139752</v>
      </c>
      <c r="C1048" s="129" t="s">
        <v>476</v>
      </c>
      <c r="D1048" s="128" t="s">
        <v>406</v>
      </c>
      <c r="E1048" s="128" t="s">
        <v>145</v>
      </c>
      <c r="F1048" s="29">
        <v>30952</v>
      </c>
      <c r="G1048" s="56" t="str">
        <f t="shared" ca="1" si="150"/>
        <v>V 35</v>
      </c>
      <c r="H1048" s="28">
        <f t="shared" ca="1" si="151"/>
        <v>36</v>
      </c>
      <c r="J1048" s="38" t="str">
        <f t="shared" si="145"/>
        <v>Jorge Louro</v>
      </c>
      <c r="K1048" s="39">
        <f t="shared" si="146"/>
        <v>1084</v>
      </c>
      <c r="L1048" s="39">
        <f t="shared" si="147"/>
        <v>139752</v>
      </c>
      <c r="M1048" s="40">
        <f t="shared" si="152"/>
        <v>30952</v>
      </c>
      <c r="N1048" s="41" t="str">
        <f t="shared" ca="1" si="153"/>
        <v>V 35</v>
      </c>
      <c r="O1048" s="41" t="str">
        <f t="shared" si="148"/>
        <v>M</v>
      </c>
      <c r="P1048" s="60" t="str">
        <f t="shared" si="149"/>
        <v>CNSV</v>
      </c>
      <c r="Q1048" s="61"/>
    </row>
    <row r="1049" spans="1:17" ht="13">
      <c r="A1049" s="28">
        <v>1067</v>
      </c>
      <c r="B1049" s="28">
        <v>128690</v>
      </c>
      <c r="C1049" s="129" t="s">
        <v>523</v>
      </c>
      <c r="D1049" s="128" t="s">
        <v>406</v>
      </c>
      <c r="E1049" s="128" t="s">
        <v>145</v>
      </c>
      <c r="F1049" s="29">
        <v>20895</v>
      </c>
      <c r="G1049" s="56" t="str">
        <f t="shared" ca="1" si="150"/>
        <v>V 60</v>
      </c>
      <c r="H1049" s="28">
        <f t="shared" ca="1" si="151"/>
        <v>64</v>
      </c>
      <c r="J1049" s="38" t="str">
        <f t="shared" si="145"/>
        <v>José Mendonça Faria</v>
      </c>
      <c r="K1049" s="39">
        <f t="shared" si="146"/>
        <v>1067</v>
      </c>
      <c r="L1049" s="39">
        <f t="shared" si="147"/>
        <v>128690</v>
      </c>
      <c r="M1049" s="40">
        <f t="shared" si="152"/>
        <v>20895</v>
      </c>
      <c r="N1049" s="41" t="str">
        <f t="shared" ca="1" si="153"/>
        <v>V 60</v>
      </c>
      <c r="O1049" s="41" t="str">
        <f t="shared" si="148"/>
        <v>M</v>
      </c>
      <c r="P1049" s="60" t="str">
        <f t="shared" si="149"/>
        <v>CNSV</v>
      </c>
      <c r="Q1049" s="61"/>
    </row>
    <row r="1050" spans="1:17" ht="13">
      <c r="A1050" s="28">
        <v>1083</v>
      </c>
      <c r="B1050" s="28">
        <v>128696</v>
      </c>
      <c r="C1050" s="129" t="s">
        <v>524</v>
      </c>
      <c r="D1050" s="128" t="s">
        <v>406</v>
      </c>
      <c r="E1050" s="128" t="s">
        <v>145</v>
      </c>
      <c r="F1050" s="29">
        <v>29939</v>
      </c>
      <c r="G1050" s="56" t="str">
        <f t="shared" ca="1" si="150"/>
        <v>V 35</v>
      </c>
      <c r="H1050" s="28">
        <f t="shared" ca="1" si="151"/>
        <v>39</v>
      </c>
      <c r="J1050" s="38" t="str">
        <f t="shared" si="145"/>
        <v>Urbano Faria</v>
      </c>
      <c r="K1050" s="39">
        <f t="shared" si="146"/>
        <v>1083</v>
      </c>
      <c r="L1050" s="39">
        <f t="shared" si="147"/>
        <v>128696</v>
      </c>
      <c r="M1050" s="40">
        <f t="shared" si="152"/>
        <v>29939</v>
      </c>
      <c r="N1050" s="41" t="str">
        <f t="shared" ca="1" si="153"/>
        <v>V 35</v>
      </c>
      <c r="O1050" s="41" t="str">
        <f t="shared" si="148"/>
        <v>M</v>
      </c>
      <c r="P1050" s="60" t="str">
        <f t="shared" si="149"/>
        <v>CNSV</v>
      </c>
      <c r="Q1050" s="61"/>
    </row>
    <row r="1051" spans="1:17" ht="13">
      <c r="A1051" s="28">
        <v>1068</v>
      </c>
      <c r="B1051" s="28">
        <v>152789</v>
      </c>
      <c r="C1051" s="129" t="s">
        <v>850</v>
      </c>
      <c r="D1051" s="128" t="s">
        <v>406</v>
      </c>
      <c r="E1051" s="128" t="s">
        <v>145</v>
      </c>
      <c r="F1051" s="29">
        <v>26410</v>
      </c>
      <c r="G1051" s="56" t="str">
        <f t="shared" ca="1" si="150"/>
        <v>V 45</v>
      </c>
      <c r="H1051" s="28">
        <f t="shared" ca="1" si="151"/>
        <v>48</v>
      </c>
      <c r="J1051" s="38" t="str">
        <f t="shared" si="145"/>
        <v>José Rui Rodrigues</v>
      </c>
      <c r="K1051" s="39">
        <f t="shared" si="146"/>
        <v>1068</v>
      </c>
      <c r="L1051" s="39">
        <f t="shared" si="147"/>
        <v>152789</v>
      </c>
      <c r="M1051" s="40">
        <f t="shared" si="152"/>
        <v>26410</v>
      </c>
      <c r="N1051" s="41" t="str">
        <f t="shared" ca="1" si="153"/>
        <v>V 45</v>
      </c>
      <c r="O1051" s="41" t="str">
        <f t="shared" si="148"/>
        <v>M</v>
      </c>
      <c r="P1051" s="60" t="str">
        <f t="shared" si="149"/>
        <v>CNSV</v>
      </c>
      <c r="Q1051" s="61"/>
    </row>
    <row r="1052" spans="1:17" ht="13">
      <c r="A1052" s="28">
        <v>2079</v>
      </c>
      <c r="B1052" s="28">
        <v>149609</v>
      </c>
      <c r="C1052" s="129" t="s">
        <v>1582</v>
      </c>
      <c r="D1052" s="128" t="s">
        <v>406</v>
      </c>
      <c r="E1052" s="128" t="s">
        <v>146</v>
      </c>
      <c r="F1052" s="29">
        <v>40793</v>
      </c>
      <c r="G1052" s="56" t="str">
        <f t="shared" ca="1" si="150"/>
        <v>Benjamim B</v>
      </c>
      <c r="H1052" s="28">
        <f t="shared" ca="1" si="151"/>
        <v>9</v>
      </c>
      <c r="J1052" s="38" t="str">
        <f t="shared" si="145"/>
        <v>Leonor Batista</v>
      </c>
      <c r="K1052" s="39">
        <f t="shared" si="146"/>
        <v>2079</v>
      </c>
      <c r="L1052" s="39">
        <f t="shared" si="147"/>
        <v>149609</v>
      </c>
      <c r="M1052" s="40">
        <f t="shared" si="152"/>
        <v>40793</v>
      </c>
      <c r="N1052" s="41" t="str">
        <f t="shared" ca="1" si="153"/>
        <v>Benjamim B</v>
      </c>
      <c r="O1052" s="41" t="str">
        <f t="shared" si="148"/>
        <v>F</v>
      </c>
      <c r="P1052" s="60" t="str">
        <f t="shared" si="149"/>
        <v>CNSV</v>
      </c>
      <c r="Q1052" s="61"/>
    </row>
    <row r="1053" spans="1:17" ht="13">
      <c r="A1053" s="28">
        <v>1086</v>
      </c>
      <c r="B1053" s="28">
        <v>139130</v>
      </c>
      <c r="C1053" s="129" t="s">
        <v>475</v>
      </c>
      <c r="D1053" s="128" t="s">
        <v>406</v>
      </c>
      <c r="E1053" s="128" t="s">
        <v>145</v>
      </c>
      <c r="F1053" s="29">
        <v>34781</v>
      </c>
      <c r="G1053" s="56" t="str">
        <f t="shared" ca="1" si="150"/>
        <v>Sénior</v>
      </c>
      <c r="H1053" s="28">
        <f t="shared" ca="1" si="151"/>
        <v>26</v>
      </c>
      <c r="J1053" s="38" t="str">
        <f t="shared" si="145"/>
        <v>James Góis</v>
      </c>
      <c r="K1053" s="39">
        <f t="shared" si="146"/>
        <v>1086</v>
      </c>
      <c r="L1053" s="39">
        <f t="shared" si="147"/>
        <v>139130</v>
      </c>
      <c r="M1053" s="40">
        <f t="shared" si="152"/>
        <v>34781</v>
      </c>
      <c r="N1053" s="41" t="str">
        <f t="shared" ca="1" si="153"/>
        <v>Sénior</v>
      </c>
      <c r="O1053" s="41" t="str">
        <f t="shared" si="148"/>
        <v>M</v>
      </c>
      <c r="P1053" s="60" t="str">
        <f t="shared" si="149"/>
        <v>CNSV</v>
      </c>
      <c r="Q1053" s="61"/>
    </row>
    <row r="1054" spans="1:17" ht="13">
      <c r="A1054" s="28">
        <v>1082</v>
      </c>
      <c r="B1054" s="28">
        <v>158538</v>
      </c>
      <c r="C1054" s="129" t="s">
        <v>1346</v>
      </c>
      <c r="D1054" s="128" t="s">
        <v>406</v>
      </c>
      <c r="E1054" s="128" t="s">
        <v>145</v>
      </c>
      <c r="F1054" s="29">
        <v>30226</v>
      </c>
      <c r="G1054" s="56" t="str">
        <f t="shared" ca="1" si="150"/>
        <v>V 35</v>
      </c>
      <c r="H1054" s="28">
        <f t="shared" ca="1" si="151"/>
        <v>38</v>
      </c>
      <c r="J1054" s="38" t="str">
        <f t="shared" si="145"/>
        <v>Francisco P Teixeira</v>
      </c>
      <c r="K1054" s="39">
        <f t="shared" si="146"/>
        <v>1082</v>
      </c>
      <c r="L1054" s="39">
        <f t="shared" si="147"/>
        <v>158538</v>
      </c>
      <c r="M1054" s="40">
        <f t="shared" si="152"/>
        <v>30226</v>
      </c>
      <c r="N1054" s="41" t="str">
        <f t="shared" ca="1" si="153"/>
        <v>V 35</v>
      </c>
      <c r="O1054" s="41" t="str">
        <f t="shared" si="148"/>
        <v>M</v>
      </c>
      <c r="P1054" s="60" t="str">
        <f t="shared" si="149"/>
        <v>CNSV</v>
      </c>
      <c r="Q1054" s="61"/>
    </row>
    <row r="1055" spans="1:17" ht="13">
      <c r="A1055" s="28">
        <v>1081</v>
      </c>
      <c r="B1055" s="28">
        <v>146692</v>
      </c>
      <c r="C1055" s="129" t="s">
        <v>1093</v>
      </c>
      <c r="D1055" s="128" t="s">
        <v>406</v>
      </c>
      <c r="E1055" s="128" t="s">
        <v>145</v>
      </c>
      <c r="F1055" s="29">
        <v>30353</v>
      </c>
      <c r="G1055" s="56" t="str">
        <f t="shared" ca="1" si="150"/>
        <v>V 35</v>
      </c>
      <c r="H1055" s="28">
        <f t="shared" ca="1" si="151"/>
        <v>38</v>
      </c>
      <c r="J1055" s="38" t="str">
        <f t="shared" si="145"/>
        <v>Gabriel Gouveia</v>
      </c>
      <c r="K1055" s="39">
        <f t="shared" si="146"/>
        <v>1081</v>
      </c>
      <c r="L1055" s="39">
        <f t="shared" si="147"/>
        <v>146692</v>
      </c>
      <c r="M1055" s="40">
        <f t="shared" si="152"/>
        <v>30353</v>
      </c>
      <c r="N1055" s="41" t="str">
        <f t="shared" ca="1" si="153"/>
        <v>V 35</v>
      </c>
      <c r="O1055" s="41" t="str">
        <f t="shared" si="148"/>
        <v>M</v>
      </c>
      <c r="P1055" s="60" t="str">
        <f t="shared" si="149"/>
        <v>CNSV</v>
      </c>
      <c r="Q1055" s="61"/>
    </row>
    <row r="1056" spans="1:17" ht="13">
      <c r="A1056" s="28">
        <v>2075</v>
      </c>
      <c r="B1056" s="28">
        <v>159374</v>
      </c>
      <c r="C1056" s="129" t="s">
        <v>1091</v>
      </c>
      <c r="D1056" s="128" t="s">
        <v>406</v>
      </c>
      <c r="E1056" s="128" t="s">
        <v>146</v>
      </c>
      <c r="F1056" s="29">
        <v>41258</v>
      </c>
      <c r="G1056" s="56" t="str">
        <f t="shared" ca="1" si="150"/>
        <v>Benjamim A</v>
      </c>
      <c r="H1056" s="28">
        <f t="shared" ca="1" si="151"/>
        <v>8</v>
      </c>
      <c r="J1056" s="38" t="str">
        <f t="shared" si="145"/>
        <v>Patrícia O. Gomes</v>
      </c>
      <c r="K1056" s="39">
        <f t="shared" si="146"/>
        <v>2075</v>
      </c>
      <c r="L1056" s="39">
        <f t="shared" si="147"/>
        <v>159374</v>
      </c>
      <c r="M1056" s="40">
        <f t="shared" si="152"/>
        <v>41258</v>
      </c>
      <c r="N1056" s="41" t="str">
        <f t="shared" ca="1" si="153"/>
        <v>Benjamim A</v>
      </c>
      <c r="O1056" s="41" t="str">
        <f t="shared" si="148"/>
        <v>F</v>
      </c>
      <c r="P1056" s="60" t="str">
        <f t="shared" si="149"/>
        <v>CNSV</v>
      </c>
      <c r="Q1056" s="61"/>
    </row>
    <row r="1057" spans="1:17" ht="13">
      <c r="A1057" s="28">
        <v>1080</v>
      </c>
      <c r="B1057" s="28">
        <v>146004</v>
      </c>
      <c r="C1057" s="129" t="s">
        <v>584</v>
      </c>
      <c r="D1057" s="128" t="s">
        <v>406</v>
      </c>
      <c r="E1057" s="128" t="s">
        <v>145</v>
      </c>
      <c r="F1057" s="29">
        <v>29957</v>
      </c>
      <c r="G1057" s="56" t="str">
        <f t="shared" ca="1" si="150"/>
        <v>V 35</v>
      </c>
      <c r="H1057" s="28">
        <f t="shared" ca="1" si="151"/>
        <v>39</v>
      </c>
      <c r="J1057" s="38" t="str">
        <f t="shared" si="145"/>
        <v>Miguel Nóbrega</v>
      </c>
      <c r="K1057" s="39">
        <f t="shared" si="146"/>
        <v>1080</v>
      </c>
      <c r="L1057" s="39">
        <f t="shared" si="147"/>
        <v>146004</v>
      </c>
      <c r="M1057" s="40">
        <f t="shared" si="152"/>
        <v>29957</v>
      </c>
      <c r="N1057" s="41" t="str">
        <f t="shared" ca="1" si="153"/>
        <v>V 35</v>
      </c>
      <c r="O1057" s="41" t="str">
        <f t="shared" si="148"/>
        <v>M</v>
      </c>
      <c r="P1057" s="60" t="str">
        <f t="shared" si="149"/>
        <v>CNSV</v>
      </c>
      <c r="Q1057" s="61"/>
    </row>
    <row r="1058" spans="1:17" ht="13">
      <c r="A1058" s="28">
        <v>1079</v>
      </c>
      <c r="B1058" s="28">
        <v>153430</v>
      </c>
      <c r="C1058" s="129" t="s">
        <v>835</v>
      </c>
      <c r="D1058" s="128" t="s">
        <v>406</v>
      </c>
      <c r="E1058" s="128" t="s">
        <v>145</v>
      </c>
      <c r="F1058" s="29">
        <v>30182</v>
      </c>
      <c r="G1058" s="56" t="str">
        <f t="shared" ca="1" si="150"/>
        <v>V 35</v>
      </c>
      <c r="H1058" s="28">
        <f t="shared" ca="1" si="151"/>
        <v>38</v>
      </c>
      <c r="J1058" s="38" t="str">
        <f t="shared" si="145"/>
        <v>André Luís</v>
      </c>
      <c r="K1058" s="39">
        <f t="shared" si="146"/>
        <v>1079</v>
      </c>
      <c r="L1058" s="39">
        <f t="shared" si="147"/>
        <v>153430</v>
      </c>
      <c r="M1058" s="40">
        <f t="shared" si="152"/>
        <v>30182</v>
      </c>
      <c r="N1058" s="41" t="str">
        <f t="shared" ca="1" si="153"/>
        <v>V 35</v>
      </c>
      <c r="O1058" s="41" t="str">
        <f t="shared" si="148"/>
        <v>M</v>
      </c>
      <c r="P1058" s="60" t="str">
        <f t="shared" si="149"/>
        <v>CNSV</v>
      </c>
      <c r="Q1058" s="61"/>
    </row>
    <row r="1059" spans="1:17" ht="13">
      <c r="A1059" s="28">
        <v>1075</v>
      </c>
      <c r="B1059" s="28">
        <v>134885</v>
      </c>
      <c r="C1059" s="129" t="s">
        <v>1021</v>
      </c>
      <c r="D1059" s="128" t="s">
        <v>406</v>
      </c>
      <c r="E1059" s="128" t="s">
        <v>145</v>
      </c>
      <c r="F1059" s="29">
        <v>29548</v>
      </c>
      <c r="G1059" s="56" t="str">
        <f t="shared" ca="1" si="150"/>
        <v>V 40</v>
      </c>
      <c r="H1059" s="28">
        <f t="shared" ca="1" si="151"/>
        <v>40</v>
      </c>
      <c r="J1059" s="38" t="str">
        <f t="shared" si="145"/>
        <v>Vítor Viríssimo</v>
      </c>
      <c r="K1059" s="39">
        <f t="shared" si="146"/>
        <v>1075</v>
      </c>
      <c r="L1059" s="39">
        <f t="shared" si="147"/>
        <v>134885</v>
      </c>
      <c r="M1059" s="40">
        <f t="shared" si="152"/>
        <v>29548</v>
      </c>
      <c r="N1059" s="41" t="str">
        <f t="shared" ca="1" si="153"/>
        <v>V 40</v>
      </c>
      <c r="O1059" s="41" t="str">
        <f t="shared" si="148"/>
        <v>M</v>
      </c>
      <c r="P1059" s="60" t="str">
        <f t="shared" si="149"/>
        <v>CNSV</v>
      </c>
      <c r="Q1059" s="61"/>
    </row>
    <row r="1060" spans="1:17" ht="13">
      <c r="A1060" s="28">
        <v>1074</v>
      </c>
      <c r="B1060" s="28">
        <v>146006</v>
      </c>
      <c r="C1060" s="129" t="s">
        <v>585</v>
      </c>
      <c r="D1060" s="128" t="s">
        <v>406</v>
      </c>
      <c r="E1060" s="128" t="s">
        <v>145</v>
      </c>
      <c r="F1060" s="29">
        <v>29068</v>
      </c>
      <c r="G1060" s="56" t="str">
        <f t="shared" ca="1" si="150"/>
        <v>V 40</v>
      </c>
      <c r="H1060" s="28">
        <f t="shared" ca="1" si="151"/>
        <v>41</v>
      </c>
      <c r="J1060" s="38" t="str">
        <f t="shared" si="145"/>
        <v>Roberto S. Nóbrega</v>
      </c>
      <c r="K1060" s="39">
        <f t="shared" si="146"/>
        <v>1074</v>
      </c>
      <c r="L1060" s="39">
        <f t="shared" si="147"/>
        <v>146006</v>
      </c>
      <c r="M1060" s="40">
        <f t="shared" si="152"/>
        <v>29068</v>
      </c>
      <c r="N1060" s="41" t="str">
        <f t="shared" ca="1" si="153"/>
        <v>V 40</v>
      </c>
      <c r="O1060" s="41" t="str">
        <f t="shared" si="148"/>
        <v>M</v>
      </c>
      <c r="P1060" s="60" t="str">
        <f t="shared" si="149"/>
        <v>CNSV</v>
      </c>
      <c r="Q1060" s="61"/>
    </row>
    <row r="1061" spans="1:17" ht="13">
      <c r="A1061" s="28">
        <v>1073</v>
      </c>
      <c r="B1061" s="28">
        <v>145583</v>
      </c>
      <c r="C1061" s="129" t="s">
        <v>586</v>
      </c>
      <c r="D1061" s="128" t="s">
        <v>406</v>
      </c>
      <c r="E1061" s="128" t="s">
        <v>145</v>
      </c>
      <c r="F1061" s="29">
        <v>28667</v>
      </c>
      <c r="G1061" s="56" t="str">
        <f t="shared" ca="1" si="150"/>
        <v>V 40</v>
      </c>
      <c r="H1061" s="28">
        <f t="shared" ca="1" si="151"/>
        <v>42</v>
      </c>
      <c r="J1061" s="38" t="str">
        <f t="shared" si="145"/>
        <v>Ricardo Gomes</v>
      </c>
      <c r="K1061" s="39">
        <f t="shared" si="146"/>
        <v>1073</v>
      </c>
      <c r="L1061" s="39">
        <f t="shared" si="147"/>
        <v>145583</v>
      </c>
      <c r="M1061" s="40">
        <f t="shared" si="152"/>
        <v>28667</v>
      </c>
      <c r="N1061" s="41" t="str">
        <f t="shared" ca="1" si="153"/>
        <v>V 40</v>
      </c>
      <c r="O1061" s="41" t="str">
        <f t="shared" si="148"/>
        <v>M</v>
      </c>
      <c r="P1061" s="60" t="str">
        <f t="shared" si="149"/>
        <v>CNSV</v>
      </c>
      <c r="Q1061" s="61"/>
    </row>
    <row r="1062" spans="1:17" ht="13">
      <c r="A1062" s="28">
        <v>1072</v>
      </c>
      <c r="B1062" s="28">
        <v>158121</v>
      </c>
      <c r="C1062" s="129" t="s">
        <v>1094</v>
      </c>
      <c r="D1062" s="128" t="s">
        <v>406</v>
      </c>
      <c r="E1062" s="128" t="s">
        <v>145</v>
      </c>
      <c r="F1062" s="29">
        <v>29285</v>
      </c>
      <c r="G1062" s="56" t="str">
        <f t="shared" ca="1" si="150"/>
        <v>V 40</v>
      </c>
      <c r="H1062" s="28">
        <f t="shared" ca="1" si="151"/>
        <v>41</v>
      </c>
      <c r="J1062" s="38" t="str">
        <f t="shared" si="145"/>
        <v>Dino Costa</v>
      </c>
      <c r="K1062" s="39">
        <f t="shared" si="146"/>
        <v>1072</v>
      </c>
      <c r="L1062" s="39">
        <f t="shared" si="147"/>
        <v>158121</v>
      </c>
      <c r="M1062" s="40">
        <f t="shared" si="152"/>
        <v>29285</v>
      </c>
      <c r="N1062" s="41" t="str">
        <f t="shared" ca="1" si="153"/>
        <v>V 40</v>
      </c>
      <c r="O1062" s="41" t="str">
        <f t="shared" si="148"/>
        <v>M</v>
      </c>
      <c r="P1062" s="60" t="str">
        <f t="shared" si="149"/>
        <v>CNSV</v>
      </c>
      <c r="Q1062" s="61"/>
    </row>
    <row r="1063" spans="1:17" ht="13">
      <c r="A1063" s="28">
        <v>179</v>
      </c>
      <c r="B1063" s="28">
        <v>137892</v>
      </c>
      <c r="C1063" s="129" t="s">
        <v>435</v>
      </c>
      <c r="D1063" s="128" t="s">
        <v>406</v>
      </c>
      <c r="E1063" s="128" t="s">
        <v>146</v>
      </c>
      <c r="F1063" s="29">
        <v>32982</v>
      </c>
      <c r="G1063" s="56" t="str">
        <f t="shared" ca="1" si="150"/>
        <v>Sénior</v>
      </c>
      <c r="H1063" s="28">
        <f t="shared" ca="1" si="151"/>
        <v>31</v>
      </c>
      <c r="J1063" s="38" t="str">
        <f t="shared" si="145"/>
        <v>Tânia Garcês</v>
      </c>
      <c r="K1063" s="39">
        <f t="shared" si="146"/>
        <v>179</v>
      </c>
      <c r="L1063" s="39">
        <f t="shared" si="147"/>
        <v>137892</v>
      </c>
      <c r="M1063" s="40">
        <f t="shared" si="152"/>
        <v>32982</v>
      </c>
      <c r="N1063" s="41" t="str">
        <f t="shared" ca="1" si="153"/>
        <v>Sénior</v>
      </c>
      <c r="O1063" s="41" t="str">
        <f t="shared" si="148"/>
        <v>F</v>
      </c>
      <c r="P1063" s="60" t="str">
        <f t="shared" si="149"/>
        <v>CNSV</v>
      </c>
      <c r="Q1063" s="61"/>
    </row>
    <row r="1064" spans="1:17" ht="13">
      <c r="A1064" s="28">
        <v>1078</v>
      </c>
      <c r="B1064" s="28">
        <v>142785</v>
      </c>
      <c r="C1064" s="129" t="s">
        <v>553</v>
      </c>
      <c r="D1064" s="128" t="s">
        <v>406</v>
      </c>
      <c r="E1064" s="128" t="s">
        <v>145</v>
      </c>
      <c r="F1064" s="29">
        <v>30339</v>
      </c>
      <c r="G1064" s="56" t="str">
        <f t="shared" ca="1" si="150"/>
        <v>V 35</v>
      </c>
      <c r="H1064" s="28">
        <f t="shared" ca="1" si="151"/>
        <v>38</v>
      </c>
      <c r="J1064" s="38" t="str">
        <f t="shared" si="145"/>
        <v>Gonçalo R. Gonçalves</v>
      </c>
      <c r="K1064" s="39">
        <f t="shared" si="146"/>
        <v>1078</v>
      </c>
      <c r="L1064" s="39">
        <f t="shared" si="147"/>
        <v>142785</v>
      </c>
      <c r="M1064" s="40">
        <f t="shared" si="152"/>
        <v>30339</v>
      </c>
      <c r="N1064" s="41" t="str">
        <f t="shared" ca="1" si="153"/>
        <v>V 35</v>
      </c>
      <c r="O1064" s="41" t="str">
        <f t="shared" si="148"/>
        <v>M</v>
      </c>
      <c r="P1064" s="60" t="str">
        <f t="shared" si="149"/>
        <v>CNSV</v>
      </c>
      <c r="Q1064" s="61"/>
    </row>
    <row r="1065" spans="1:17" ht="13">
      <c r="A1065" s="28">
        <v>180</v>
      </c>
      <c r="B1065" s="28">
        <v>158725</v>
      </c>
      <c r="C1065" s="129" t="s">
        <v>1090</v>
      </c>
      <c r="D1065" s="128" t="s">
        <v>406</v>
      </c>
      <c r="E1065" s="128" t="s">
        <v>146</v>
      </c>
      <c r="F1065" s="29">
        <v>32946</v>
      </c>
      <c r="G1065" s="56" t="str">
        <f t="shared" ca="1" si="150"/>
        <v>Sénior</v>
      </c>
      <c r="H1065" s="28">
        <f t="shared" ca="1" si="151"/>
        <v>31</v>
      </c>
      <c r="J1065" s="38" t="str">
        <f t="shared" si="145"/>
        <v>Ângela Romeira</v>
      </c>
      <c r="K1065" s="39">
        <f t="shared" si="146"/>
        <v>180</v>
      </c>
      <c r="L1065" s="39">
        <f t="shared" si="147"/>
        <v>158725</v>
      </c>
      <c r="M1065" s="40">
        <f t="shared" si="152"/>
        <v>32946</v>
      </c>
      <c r="N1065" s="41" t="str">
        <f t="shared" ca="1" si="153"/>
        <v>Sénior</v>
      </c>
      <c r="O1065" s="41" t="str">
        <f t="shared" si="148"/>
        <v>F</v>
      </c>
      <c r="P1065" s="60" t="str">
        <f t="shared" si="149"/>
        <v>CNSV</v>
      </c>
      <c r="Q1065" s="61"/>
    </row>
    <row r="1066" spans="1:17" ht="13">
      <c r="A1066" s="28">
        <v>187</v>
      </c>
      <c r="B1066" s="28">
        <v>152359</v>
      </c>
      <c r="C1066" s="129" t="s">
        <v>872</v>
      </c>
      <c r="D1066" s="128" t="s">
        <v>406</v>
      </c>
      <c r="E1066" s="128" t="s">
        <v>146</v>
      </c>
      <c r="F1066" s="29">
        <v>27748</v>
      </c>
      <c r="G1066" s="56" t="str">
        <f t="shared" ca="1" si="150"/>
        <v>V 45</v>
      </c>
      <c r="H1066" s="28">
        <f t="shared" ca="1" si="151"/>
        <v>45</v>
      </c>
      <c r="J1066" s="38" t="str">
        <f t="shared" si="145"/>
        <v>Sónia Quelhas</v>
      </c>
      <c r="K1066" s="39">
        <f t="shared" si="146"/>
        <v>187</v>
      </c>
      <c r="L1066" s="39">
        <f t="shared" si="147"/>
        <v>152359</v>
      </c>
      <c r="M1066" s="40">
        <f t="shared" si="152"/>
        <v>27748</v>
      </c>
      <c r="N1066" s="41" t="str">
        <f t="shared" ca="1" si="153"/>
        <v>V 45</v>
      </c>
      <c r="O1066" s="41" t="str">
        <f t="shared" si="148"/>
        <v>F</v>
      </c>
      <c r="P1066" s="60" t="str">
        <f t="shared" si="149"/>
        <v>CNSV</v>
      </c>
      <c r="Q1066" s="61"/>
    </row>
    <row r="1067" spans="1:17" ht="13">
      <c r="A1067" s="28">
        <v>188</v>
      </c>
      <c r="B1067" s="28">
        <v>145623</v>
      </c>
      <c r="C1067" s="129" t="s">
        <v>582</v>
      </c>
      <c r="D1067" s="128" t="s">
        <v>406</v>
      </c>
      <c r="E1067" s="128" t="s">
        <v>146</v>
      </c>
      <c r="F1067" s="29">
        <v>29186</v>
      </c>
      <c r="G1067" s="56" t="str">
        <f t="shared" ca="1" si="150"/>
        <v>V 40</v>
      </c>
      <c r="H1067" s="28">
        <f t="shared" ca="1" si="151"/>
        <v>41</v>
      </c>
      <c r="J1067" s="38" t="str">
        <f t="shared" si="145"/>
        <v>Liliana Cardoso</v>
      </c>
      <c r="K1067" s="39">
        <f t="shared" si="146"/>
        <v>188</v>
      </c>
      <c r="L1067" s="39">
        <f t="shared" si="147"/>
        <v>145623</v>
      </c>
      <c r="M1067" s="40">
        <f t="shared" si="152"/>
        <v>29186</v>
      </c>
      <c r="N1067" s="41" t="str">
        <f t="shared" ca="1" si="153"/>
        <v>V 40</v>
      </c>
      <c r="O1067" s="41" t="str">
        <f t="shared" si="148"/>
        <v>F</v>
      </c>
      <c r="P1067" s="60" t="str">
        <f t="shared" si="149"/>
        <v>CNSV</v>
      </c>
      <c r="Q1067" s="61"/>
    </row>
    <row r="1068" spans="1:17" ht="13">
      <c r="A1068" s="28">
        <v>1071</v>
      </c>
      <c r="B1068" s="28">
        <v>134851</v>
      </c>
      <c r="C1068" s="129" t="s">
        <v>409</v>
      </c>
      <c r="D1068" s="128" t="s">
        <v>406</v>
      </c>
      <c r="E1068" s="128" t="s">
        <v>145</v>
      </c>
      <c r="F1068" s="29">
        <v>27941</v>
      </c>
      <c r="G1068" s="56" t="str">
        <f t="shared" ca="1" si="150"/>
        <v>V 40</v>
      </c>
      <c r="H1068" s="28">
        <f t="shared" ca="1" si="151"/>
        <v>44</v>
      </c>
      <c r="J1068" s="38" t="str">
        <f t="shared" si="145"/>
        <v>Cristóvão Rodrigues</v>
      </c>
      <c r="K1068" s="39">
        <f t="shared" si="146"/>
        <v>1071</v>
      </c>
      <c r="L1068" s="39">
        <f t="shared" si="147"/>
        <v>134851</v>
      </c>
      <c r="M1068" s="40">
        <f t="shared" si="152"/>
        <v>27941</v>
      </c>
      <c r="N1068" s="41" t="str">
        <f t="shared" ca="1" si="153"/>
        <v>V 40</v>
      </c>
      <c r="O1068" s="41" t="str">
        <f t="shared" si="148"/>
        <v>M</v>
      </c>
      <c r="P1068" s="60" t="str">
        <f t="shared" si="149"/>
        <v>CNSV</v>
      </c>
      <c r="Q1068" s="61"/>
    </row>
    <row r="1069" spans="1:17" ht="13">
      <c r="A1069" s="28">
        <v>182</v>
      </c>
      <c r="B1069" s="28">
        <v>145604</v>
      </c>
      <c r="C1069" s="129" t="s">
        <v>580</v>
      </c>
      <c r="D1069" s="128" t="s">
        <v>406</v>
      </c>
      <c r="E1069" s="128" t="s">
        <v>146</v>
      </c>
      <c r="F1069" s="29">
        <v>30216</v>
      </c>
      <c r="G1069" s="56" t="str">
        <f t="shared" ca="1" si="150"/>
        <v>V 35</v>
      </c>
      <c r="H1069" s="28">
        <f t="shared" ca="1" si="151"/>
        <v>38</v>
      </c>
      <c r="J1069" s="38" t="str">
        <f t="shared" si="145"/>
        <v>Herculana Sousa</v>
      </c>
      <c r="K1069" s="39">
        <f t="shared" si="146"/>
        <v>182</v>
      </c>
      <c r="L1069" s="39">
        <f t="shared" si="147"/>
        <v>145604</v>
      </c>
      <c r="M1069" s="40">
        <f t="shared" si="152"/>
        <v>30216</v>
      </c>
      <c r="N1069" s="41" t="str">
        <f t="shared" ca="1" si="153"/>
        <v>V 35</v>
      </c>
      <c r="O1069" s="41" t="str">
        <f t="shared" si="148"/>
        <v>F</v>
      </c>
      <c r="P1069" s="60" t="str">
        <f t="shared" si="149"/>
        <v>CNSV</v>
      </c>
      <c r="Q1069" s="61"/>
    </row>
    <row r="1070" spans="1:17" ht="13">
      <c r="A1070" s="28">
        <v>2232</v>
      </c>
      <c r="B1070" s="28">
        <v>149399</v>
      </c>
      <c r="C1070" s="129" t="s">
        <v>1585</v>
      </c>
      <c r="D1070" s="128" t="s">
        <v>406</v>
      </c>
      <c r="E1070" s="128" t="s">
        <v>145</v>
      </c>
      <c r="F1070" s="29">
        <v>40289</v>
      </c>
      <c r="G1070" s="56" t="str">
        <f t="shared" ca="1" si="150"/>
        <v>Benjamim B</v>
      </c>
      <c r="H1070" s="28">
        <f t="shared" ca="1" si="151"/>
        <v>10</v>
      </c>
      <c r="J1070" s="38" t="str">
        <f t="shared" si="145"/>
        <v>Martim Batista</v>
      </c>
      <c r="K1070" s="39">
        <f t="shared" si="146"/>
        <v>2232</v>
      </c>
      <c r="L1070" s="39">
        <f t="shared" si="147"/>
        <v>149399</v>
      </c>
      <c r="M1070" s="40">
        <f t="shared" si="152"/>
        <v>40289</v>
      </c>
      <c r="N1070" s="41" t="str">
        <f t="shared" ca="1" si="153"/>
        <v>Benjamim B</v>
      </c>
      <c r="O1070" s="41" t="str">
        <f t="shared" si="148"/>
        <v>M</v>
      </c>
      <c r="P1070" s="60" t="str">
        <f t="shared" si="149"/>
        <v>CNSV</v>
      </c>
      <c r="Q1070" s="61"/>
    </row>
    <row r="1071" spans="1:17" ht="13">
      <c r="A1071" s="28">
        <v>183</v>
      </c>
      <c r="B1071" s="28">
        <v>149478</v>
      </c>
      <c r="C1071" s="129" t="s">
        <v>1583</v>
      </c>
      <c r="D1071" s="128" t="s">
        <v>406</v>
      </c>
      <c r="E1071" s="128" t="s">
        <v>146</v>
      </c>
      <c r="F1071" s="29">
        <v>30286</v>
      </c>
      <c r="G1071" s="56" t="str">
        <f t="shared" ca="1" si="150"/>
        <v>V 35</v>
      </c>
      <c r="H1071" s="28">
        <f t="shared" ca="1" si="151"/>
        <v>38</v>
      </c>
      <c r="J1071" s="38" t="str">
        <f t="shared" si="145"/>
        <v>Ekaterina Zubareva</v>
      </c>
      <c r="K1071" s="39">
        <f t="shared" si="146"/>
        <v>183</v>
      </c>
      <c r="L1071" s="39">
        <f t="shared" si="147"/>
        <v>149478</v>
      </c>
      <c r="M1071" s="40">
        <f t="shared" si="152"/>
        <v>30286</v>
      </c>
      <c r="N1071" s="41" t="str">
        <f t="shared" ca="1" si="153"/>
        <v>V 35</v>
      </c>
      <c r="O1071" s="41" t="str">
        <f t="shared" si="148"/>
        <v>F</v>
      </c>
      <c r="P1071" s="60" t="str">
        <f t="shared" si="149"/>
        <v>CNSV</v>
      </c>
      <c r="Q1071" s="61"/>
    </row>
    <row r="1072" spans="1:17" ht="13">
      <c r="A1072" s="28">
        <v>1070</v>
      </c>
      <c r="B1072" s="28">
        <v>162371</v>
      </c>
      <c r="C1072" s="129" t="s">
        <v>1586</v>
      </c>
      <c r="D1072" s="128" t="s">
        <v>406</v>
      </c>
      <c r="E1072" s="128" t="s">
        <v>145</v>
      </c>
      <c r="F1072" s="29">
        <v>29098</v>
      </c>
      <c r="G1072" s="56" t="str">
        <f t="shared" ca="1" si="150"/>
        <v>V 40</v>
      </c>
      <c r="H1072" s="28">
        <f t="shared" ca="1" si="151"/>
        <v>41</v>
      </c>
      <c r="J1072" s="38" t="str">
        <f t="shared" si="145"/>
        <v>Pedro D. Gomes</v>
      </c>
      <c r="K1072" s="39">
        <f t="shared" si="146"/>
        <v>1070</v>
      </c>
      <c r="L1072" s="39">
        <f t="shared" si="147"/>
        <v>162371</v>
      </c>
      <c r="M1072" s="40">
        <f t="shared" si="152"/>
        <v>29098</v>
      </c>
      <c r="N1072" s="41" t="str">
        <f t="shared" ca="1" si="153"/>
        <v>V 40</v>
      </c>
      <c r="O1072" s="41" t="str">
        <f t="shared" si="148"/>
        <v>M</v>
      </c>
      <c r="P1072" s="60" t="str">
        <f t="shared" si="149"/>
        <v>CNSV</v>
      </c>
      <c r="Q1072" s="61"/>
    </row>
    <row r="1073" spans="1:17" ht="13">
      <c r="A1073" s="28">
        <v>181</v>
      </c>
      <c r="B1073" s="28">
        <v>163798</v>
      </c>
      <c r="C1073" s="129" t="s">
        <v>1584</v>
      </c>
      <c r="D1073" s="128" t="s">
        <v>406</v>
      </c>
      <c r="E1073" s="128" t="s">
        <v>146</v>
      </c>
      <c r="F1073" s="29">
        <v>34107</v>
      </c>
      <c r="G1073" s="56" t="str">
        <f t="shared" ca="1" si="150"/>
        <v>Sénior</v>
      </c>
      <c r="H1073" s="28">
        <f t="shared" ca="1" si="151"/>
        <v>27</v>
      </c>
      <c r="J1073" s="38" t="str">
        <f t="shared" si="145"/>
        <v>Ana Luísa Roda</v>
      </c>
      <c r="K1073" s="39">
        <f t="shared" si="146"/>
        <v>181</v>
      </c>
      <c r="L1073" s="39">
        <f t="shared" si="147"/>
        <v>163798</v>
      </c>
      <c r="M1073" s="40">
        <f t="shared" si="152"/>
        <v>34107</v>
      </c>
      <c r="N1073" s="41" t="str">
        <f t="shared" ca="1" si="153"/>
        <v>Sénior</v>
      </c>
      <c r="O1073" s="41" t="str">
        <f t="shared" si="148"/>
        <v>F</v>
      </c>
      <c r="P1073" s="60" t="str">
        <f t="shared" si="149"/>
        <v>CNSV</v>
      </c>
      <c r="Q1073" s="61"/>
    </row>
    <row r="1074" spans="1:17" ht="13">
      <c r="A1074" s="28">
        <v>1069</v>
      </c>
      <c r="B1074" s="28">
        <v>163130</v>
      </c>
      <c r="C1074" s="129" t="s">
        <v>1587</v>
      </c>
      <c r="D1074" s="128" t="s">
        <v>406</v>
      </c>
      <c r="E1074" s="128" t="s">
        <v>145</v>
      </c>
      <c r="F1074" s="29">
        <v>27941</v>
      </c>
      <c r="G1074" s="56" t="str">
        <f t="shared" ca="1" si="150"/>
        <v>V 40</v>
      </c>
      <c r="H1074" s="28">
        <f t="shared" ca="1" si="151"/>
        <v>44</v>
      </c>
      <c r="J1074" s="38" t="str">
        <f t="shared" si="145"/>
        <v>Nuno M. Gomes</v>
      </c>
      <c r="K1074" s="39">
        <f t="shared" si="146"/>
        <v>1069</v>
      </c>
      <c r="L1074" s="39">
        <f t="shared" si="147"/>
        <v>163130</v>
      </c>
      <c r="M1074" s="40">
        <f t="shared" si="152"/>
        <v>27941</v>
      </c>
      <c r="N1074" s="41" t="str">
        <f t="shared" ca="1" si="153"/>
        <v>V 40</v>
      </c>
      <c r="O1074" s="41" t="str">
        <f t="shared" si="148"/>
        <v>M</v>
      </c>
      <c r="P1074" s="60" t="str">
        <f t="shared" si="149"/>
        <v>CNSV</v>
      </c>
      <c r="Q1074" s="61"/>
    </row>
    <row r="1075" spans="1:17" ht="13">
      <c r="A1075" s="28">
        <v>2234</v>
      </c>
      <c r="B1075" s="28">
        <v>152834</v>
      </c>
      <c r="C1075" s="129" t="s">
        <v>883</v>
      </c>
      <c r="D1075" s="128" t="s">
        <v>736</v>
      </c>
      <c r="E1075" s="128" t="s">
        <v>145</v>
      </c>
      <c r="F1075" s="29">
        <v>40297</v>
      </c>
      <c r="G1075" s="56" t="str">
        <f t="shared" ca="1" si="150"/>
        <v>Benjamim B</v>
      </c>
      <c r="H1075" s="28">
        <f t="shared" ca="1" si="151"/>
        <v>10</v>
      </c>
      <c r="J1075" s="38" t="str">
        <f t="shared" si="145"/>
        <v>Bernardo Dias</v>
      </c>
      <c r="K1075" s="39">
        <f t="shared" si="146"/>
        <v>2234</v>
      </c>
      <c r="L1075" s="39">
        <f t="shared" si="147"/>
        <v>152834</v>
      </c>
      <c r="M1075" s="40">
        <f t="shared" si="152"/>
        <v>40297</v>
      </c>
      <c r="N1075" s="41" t="str">
        <f t="shared" ca="1" si="153"/>
        <v>Benjamim B</v>
      </c>
      <c r="O1075" s="41" t="str">
        <f t="shared" si="148"/>
        <v>M</v>
      </c>
      <c r="P1075" s="60" t="str">
        <f t="shared" si="149"/>
        <v>CFA-M</v>
      </c>
      <c r="Q1075" s="61"/>
    </row>
    <row r="1076" spans="1:17" ht="13">
      <c r="A1076" s="28">
        <v>2071</v>
      </c>
      <c r="B1076" s="28">
        <v>163582</v>
      </c>
      <c r="C1076" s="129" t="s">
        <v>1444</v>
      </c>
      <c r="D1076" s="128" t="s">
        <v>736</v>
      </c>
      <c r="E1076" s="128" t="s">
        <v>146</v>
      </c>
      <c r="F1076" s="29">
        <v>41621</v>
      </c>
      <c r="G1076" s="56" t="str">
        <f t="shared" ca="1" si="150"/>
        <v>Benjamim A</v>
      </c>
      <c r="H1076" s="28">
        <f t="shared" ca="1" si="151"/>
        <v>7</v>
      </c>
      <c r="J1076" s="38" t="str">
        <f t="shared" si="145"/>
        <v>Mariana Afonso</v>
      </c>
      <c r="K1076" s="39">
        <f t="shared" si="146"/>
        <v>2071</v>
      </c>
      <c r="L1076" s="39">
        <f t="shared" si="147"/>
        <v>163582</v>
      </c>
      <c r="M1076" s="40">
        <f t="shared" si="152"/>
        <v>41621</v>
      </c>
      <c r="N1076" s="41" t="str">
        <f t="shared" ca="1" si="153"/>
        <v>Benjamim A</v>
      </c>
      <c r="O1076" s="41" t="str">
        <f t="shared" si="148"/>
        <v>F</v>
      </c>
      <c r="P1076" s="60" t="str">
        <f t="shared" si="149"/>
        <v>CFA-M</v>
      </c>
      <c r="Q1076" s="61"/>
    </row>
    <row r="1077" spans="1:17" ht="13">
      <c r="A1077" s="28">
        <v>2235</v>
      </c>
      <c r="B1077" s="28">
        <v>163705</v>
      </c>
      <c r="C1077" s="129" t="s">
        <v>1450</v>
      </c>
      <c r="D1077" s="128" t="s">
        <v>736</v>
      </c>
      <c r="E1077" s="128" t="s">
        <v>145</v>
      </c>
      <c r="F1077" s="29">
        <v>41588</v>
      </c>
      <c r="G1077" s="56" t="str">
        <f t="shared" ca="1" si="150"/>
        <v>Benjamim A</v>
      </c>
      <c r="H1077" s="28">
        <f t="shared" ca="1" si="151"/>
        <v>7</v>
      </c>
      <c r="J1077" s="38" t="str">
        <f t="shared" si="145"/>
        <v>Leonardo F. Alves</v>
      </c>
      <c r="K1077" s="39">
        <f t="shared" si="146"/>
        <v>2235</v>
      </c>
      <c r="L1077" s="39">
        <f t="shared" si="147"/>
        <v>163705</v>
      </c>
      <c r="M1077" s="40">
        <f t="shared" si="152"/>
        <v>41588</v>
      </c>
      <c r="N1077" s="41" t="str">
        <f t="shared" ca="1" si="153"/>
        <v>Benjamim A</v>
      </c>
      <c r="O1077" s="41" t="str">
        <f t="shared" si="148"/>
        <v>M</v>
      </c>
      <c r="P1077" s="60" t="str">
        <f t="shared" si="149"/>
        <v>CFA-M</v>
      </c>
      <c r="Q1077" s="61"/>
    </row>
    <row r="1078" spans="1:17" ht="13">
      <c r="A1078" s="28">
        <v>156</v>
      </c>
      <c r="B1078" s="28">
        <v>148667</v>
      </c>
      <c r="C1078" s="129" t="s">
        <v>749</v>
      </c>
      <c r="D1078" s="128" t="s">
        <v>736</v>
      </c>
      <c r="E1078" s="128" t="s">
        <v>146</v>
      </c>
      <c r="F1078" s="29">
        <v>28126</v>
      </c>
      <c r="G1078" s="56" t="str">
        <f t="shared" ca="1" si="150"/>
        <v>V 40</v>
      </c>
      <c r="H1078" s="28">
        <f t="shared" ca="1" si="151"/>
        <v>44</v>
      </c>
      <c r="J1078" s="38" t="str">
        <f t="shared" si="145"/>
        <v>Filipa A. Freitas</v>
      </c>
      <c r="K1078" s="39">
        <f t="shared" si="146"/>
        <v>156</v>
      </c>
      <c r="L1078" s="39">
        <f t="shared" si="147"/>
        <v>148667</v>
      </c>
      <c r="M1078" s="40">
        <f t="shared" si="152"/>
        <v>28126</v>
      </c>
      <c r="N1078" s="41" t="str">
        <f t="shared" ca="1" si="153"/>
        <v>V 40</v>
      </c>
      <c r="O1078" s="41" t="str">
        <f t="shared" si="148"/>
        <v>F</v>
      </c>
      <c r="P1078" s="60" t="str">
        <f t="shared" si="149"/>
        <v>CFA-M</v>
      </c>
      <c r="Q1078" s="61"/>
    </row>
    <row r="1079" spans="1:17" ht="13">
      <c r="A1079" s="28">
        <v>2073</v>
      </c>
      <c r="B1079" s="28">
        <v>163771</v>
      </c>
      <c r="C1079" s="129" t="s">
        <v>1445</v>
      </c>
      <c r="D1079" s="128" t="s">
        <v>736</v>
      </c>
      <c r="E1079" s="128" t="s">
        <v>146</v>
      </c>
      <c r="F1079" s="29">
        <v>40501</v>
      </c>
      <c r="G1079" s="56" t="str">
        <f t="shared" ca="1" si="150"/>
        <v>Benjamim B</v>
      </c>
      <c r="H1079" s="28">
        <f t="shared" ca="1" si="151"/>
        <v>10</v>
      </c>
      <c r="J1079" s="38" t="str">
        <f t="shared" si="145"/>
        <v>Joana Serrano</v>
      </c>
      <c r="K1079" s="39">
        <f t="shared" si="146"/>
        <v>2073</v>
      </c>
      <c r="L1079" s="39">
        <f t="shared" si="147"/>
        <v>163771</v>
      </c>
      <c r="M1079" s="40">
        <f t="shared" si="152"/>
        <v>40501</v>
      </c>
      <c r="N1079" s="41" t="str">
        <f t="shared" ca="1" si="153"/>
        <v>Benjamim B</v>
      </c>
      <c r="O1079" s="41" t="str">
        <f t="shared" si="148"/>
        <v>F</v>
      </c>
      <c r="P1079" s="60" t="str">
        <f t="shared" si="149"/>
        <v>CFA-M</v>
      </c>
      <c r="Q1079" s="61"/>
    </row>
    <row r="1080" spans="1:17" ht="13">
      <c r="A1080" s="28">
        <v>2040</v>
      </c>
      <c r="B1080" s="28">
        <v>163762</v>
      </c>
      <c r="C1080" s="129" t="s">
        <v>1451</v>
      </c>
      <c r="D1080" s="128" t="s">
        <v>736</v>
      </c>
      <c r="E1080" s="128" t="s">
        <v>145</v>
      </c>
      <c r="F1080" s="29">
        <v>40165</v>
      </c>
      <c r="G1080" s="56" t="str">
        <f t="shared" ca="1" si="150"/>
        <v>Infantil</v>
      </c>
      <c r="H1080" s="28">
        <f t="shared" ca="1" si="151"/>
        <v>11</v>
      </c>
      <c r="J1080" s="38" t="str">
        <f t="shared" si="145"/>
        <v>Tomás Aguiar</v>
      </c>
      <c r="K1080" s="39">
        <f t="shared" si="146"/>
        <v>2040</v>
      </c>
      <c r="L1080" s="39">
        <f t="shared" si="147"/>
        <v>163762</v>
      </c>
      <c r="M1080" s="40">
        <f t="shared" si="152"/>
        <v>40165</v>
      </c>
      <c r="N1080" s="41" t="str">
        <f t="shared" ca="1" si="153"/>
        <v>Infantil</v>
      </c>
      <c r="O1080" s="41" t="str">
        <f t="shared" si="148"/>
        <v>M</v>
      </c>
      <c r="P1080" s="60" t="str">
        <f t="shared" si="149"/>
        <v>CFA-M</v>
      </c>
      <c r="Q1080" s="61"/>
    </row>
    <row r="1081" spans="1:17" ht="13">
      <c r="A1081" s="28">
        <v>2074</v>
      </c>
      <c r="B1081" s="28">
        <v>163763</v>
      </c>
      <c r="C1081" s="129" t="s">
        <v>1446</v>
      </c>
      <c r="D1081" s="128" t="s">
        <v>736</v>
      </c>
      <c r="E1081" s="128" t="s">
        <v>146</v>
      </c>
      <c r="F1081" s="29">
        <v>40626</v>
      </c>
      <c r="G1081" s="56" t="str">
        <f t="shared" ca="1" si="150"/>
        <v>Benjamim B</v>
      </c>
      <c r="H1081" s="28">
        <f t="shared" ca="1" si="151"/>
        <v>10</v>
      </c>
      <c r="J1081" s="38" t="str">
        <f t="shared" si="145"/>
        <v>Júlia Aguiar</v>
      </c>
      <c r="K1081" s="39">
        <f t="shared" si="146"/>
        <v>2074</v>
      </c>
      <c r="L1081" s="39">
        <f t="shared" si="147"/>
        <v>163763</v>
      </c>
      <c r="M1081" s="40">
        <f t="shared" si="152"/>
        <v>40626</v>
      </c>
      <c r="N1081" s="41" t="str">
        <f t="shared" ca="1" si="153"/>
        <v>Benjamim B</v>
      </c>
      <c r="O1081" s="41" t="str">
        <f t="shared" si="148"/>
        <v>F</v>
      </c>
      <c r="P1081" s="60" t="str">
        <f t="shared" si="149"/>
        <v>CFA-M</v>
      </c>
      <c r="Q1081" s="61"/>
    </row>
    <row r="1082" spans="1:17" ht="13">
      <c r="A1082" s="28">
        <v>1157</v>
      </c>
      <c r="B1082" s="28">
        <v>163781</v>
      </c>
      <c r="C1082" s="129" t="s">
        <v>1452</v>
      </c>
      <c r="D1082" s="128" t="s">
        <v>736</v>
      </c>
      <c r="E1082" s="128" t="s">
        <v>145</v>
      </c>
      <c r="F1082" s="29">
        <v>29351</v>
      </c>
      <c r="G1082" s="56" t="str">
        <f t="shared" ca="1" si="150"/>
        <v>V 40</v>
      </c>
      <c r="H1082" s="28">
        <f t="shared" ca="1" si="151"/>
        <v>40</v>
      </c>
      <c r="J1082" s="38" t="str">
        <f t="shared" si="145"/>
        <v>Rui Serrano</v>
      </c>
      <c r="K1082" s="39">
        <f t="shared" si="146"/>
        <v>1157</v>
      </c>
      <c r="L1082" s="39">
        <f t="shared" si="147"/>
        <v>163781</v>
      </c>
      <c r="M1082" s="40">
        <f t="shared" si="152"/>
        <v>29351</v>
      </c>
      <c r="N1082" s="41" t="str">
        <f t="shared" ca="1" si="153"/>
        <v>V 40</v>
      </c>
      <c r="O1082" s="41" t="str">
        <f t="shared" si="148"/>
        <v>M</v>
      </c>
      <c r="P1082" s="60" t="str">
        <f t="shared" si="149"/>
        <v>CFA-M</v>
      </c>
      <c r="Q1082" s="61"/>
    </row>
    <row r="1083" spans="1:17" ht="13">
      <c r="A1083" s="28">
        <v>155</v>
      </c>
      <c r="B1083" s="28">
        <v>163779</v>
      </c>
      <c r="C1083" s="129" t="s">
        <v>1447</v>
      </c>
      <c r="D1083" s="128" t="s">
        <v>736</v>
      </c>
      <c r="E1083" s="128" t="s">
        <v>146</v>
      </c>
      <c r="F1083" s="29">
        <v>30653</v>
      </c>
      <c r="G1083" s="56" t="str">
        <f t="shared" ca="1" si="150"/>
        <v>V 35</v>
      </c>
      <c r="H1083" s="28">
        <f t="shared" ca="1" si="151"/>
        <v>37</v>
      </c>
      <c r="J1083" s="38" t="str">
        <f t="shared" si="145"/>
        <v>Liliana Serrano</v>
      </c>
      <c r="K1083" s="39">
        <f t="shared" si="146"/>
        <v>155</v>
      </c>
      <c r="L1083" s="39">
        <f t="shared" si="147"/>
        <v>163779</v>
      </c>
      <c r="M1083" s="40">
        <f t="shared" si="152"/>
        <v>30653</v>
      </c>
      <c r="N1083" s="41" t="str">
        <f t="shared" ca="1" si="153"/>
        <v>V 35</v>
      </c>
      <c r="O1083" s="41" t="str">
        <f t="shared" si="148"/>
        <v>F</v>
      </c>
      <c r="P1083" s="60" t="str">
        <f t="shared" si="149"/>
        <v>CFA-M</v>
      </c>
      <c r="Q1083" s="61"/>
    </row>
    <row r="1084" spans="1:17" ht="13">
      <c r="A1084" s="28">
        <v>1766</v>
      </c>
      <c r="B1084" s="28">
        <v>163948</v>
      </c>
      <c r="C1084" s="129" t="s">
        <v>1448</v>
      </c>
      <c r="D1084" s="128" t="s">
        <v>736</v>
      </c>
      <c r="E1084" s="128" t="s">
        <v>146</v>
      </c>
      <c r="F1084" s="29">
        <v>39083</v>
      </c>
      <c r="G1084" s="56" t="str">
        <f t="shared" ca="1" si="150"/>
        <v>Iniciado</v>
      </c>
      <c r="H1084" s="28">
        <f t="shared" ca="1" si="151"/>
        <v>14</v>
      </c>
      <c r="J1084" s="38" t="str">
        <f t="shared" si="145"/>
        <v>Cristina Neves</v>
      </c>
      <c r="K1084" s="39">
        <f t="shared" si="146"/>
        <v>1766</v>
      </c>
      <c r="L1084" s="39">
        <f t="shared" si="147"/>
        <v>163948</v>
      </c>
      <c r="M1084" s="40">
        <f t="shared" si="152"/>
        <v>39083</v>
      </c>
      <c r="N1084" s="41" t="str">
        <f t="shared" ca="1" si="153"/>
        <v>Iniciado</v>
      </c>
      <c r="O1084" s="41" t="str">
        <f t="shared" si="148"/>
        <v>F</v>
      </c>
      <c r="P1084" s="60" t="str">
        <f t="shared" si="149"/>
        <v>CFA-M</v>
      </c>
      <c r="Q1084" s="61"/>
    </row>
    <row r="1085" spans="1:17" ht="13">
      <c r="A1085" s="28">
        <v>995</v>
      </c>
      <c r="B1085" s="28">
        <v>129995</v>
      </c>
      <c r="C1085" s="129" t="s">
        <v>255</v>
      </c>
      <c r="D1085" s="128" t="s">
        <v>125</v>
      </c>
      <c r="E1085" s="128" t="s">
        <v>145</v>
      </c>
      <c r="F1085" s="29">
        <v>32619</v>
      </c>
      <c r="G1085" s="56" t="str">
        <f t="shared" ca="1" si="150"/>
        <v>Sénior</v>
      </c>
      <c r="H1085" s="28">
        <f t="shared" ca="1" si="151"/>
        <v>31</v>
      </c>
      <c r="J1085" s="38" t="str">
        <f t="shared" si="145"/>
        <v>Humberto Pires</v>
      </c>
      <c r="K1085" s="39">
        <f t="shared" si="146"/>
        <v>995</v>
      </c>
      <c r="L1085" s="39">
        <f t="shared" si="147"/>
        <v>129995</v>
      </c>
      <c r="M1085" s="40">
        <f t="shared" si="152"/>
        <v>32619</v>
      </c>
      <c r="N1085" s="41" t="str">
        <f t="shared" ca="1" si="153"/>
        <v>Sénior</v>
      </c>
      <c r="O1085" s="41" t="str">
        <f t="shared" si="148"/>
        <v>M</v>
      </c>
      <c r="P1085" s="60" t="str">
        <f t="shared" si="149"/>
        <v>GDE</v>
      </c>
      <c r="Q1085" s="61"/>
    </row>
    <row r="1086" spans="1:17" ht="13">
      <c r="A1086" s="28">
        <v>1777</v>
      </c>
      <c r="B1086" s="28">
        <v>158912</v>
      </c>
      <c r="C1086" s="129" t="s">
        <v>1257</v>
      </c>
      <c r="D1086" s="128" t="s">
        <v>125</v>
      </c>
      <c r="E1086" s="128" t="s">
        <v>146</v>
      </c>
      <c r="F1086" s="29">
        <v>39014</v>
      </c>
      <c r="G1086" s="56" t="str">
        <f t="shared" ca="1" si="150"/>
        <v>Iniciado</v>
      </c>
      <c r="H1086" s="28">
        <f t="shared" ca="1" si="151"/>
        <v>14</v>
      </c>
      <c r="J1086" s="38" t="str">
        <f t="shared" si="145"/>
        <v>Catarina J. Vieira</v>
      </c>
      <c r="K1086" s="39">
        <f t="shared" si="146"/>
        <v>1777</v>
      </c>
      <c r="L1086" s="39">
        <f t="shared" si="147"/>
        <v>158912</v>
      </c>
      <c r="M1086" s="40">
        <f t="shared" si="152"/>
        <v>39014</v>
      </c>
      <c r="N1086" s="41" t="str">
        <f t="shared" ca="1" si="153"/>
        <v>Iniciado</v>
      </c>
      <c r="O1086" s="41" t="str">
        <f t="shared" si="148"/>
        <v>F</v>
      </c>
      <c r="P1086" s="60" t="str">
        <f t="shared" si="149"/>
        <v>GDE</v>
      </c>
      <c r="Q1086" s="61"/>
    </row>
    <row r="1087" spans="1:17" ht="13">
      <c r="A1087" s="28">
        <v>1578</v>
      </c>
      <c r="B1087" s="28">
        <v>161737</v>
      </c>
      <c r="C1087" s="129" t="s">
        <v>1382</v>
      </c>
      <c r="D1087" s="128" t="s">
        <v>125</v>
      </c>
      <c r="E1087" s="128" t="s">
        <v>146</v>
      </c>
      <c r="F1087" s="29">
        <v>38704</v>
      </c>
      <c r="G1087" s="56" t="str">
        <f t="shared" ca="1" si="150"/>
        <v>Juvenil</v>
      </c>
      <c r="H1087" s="28">
        <f t="shared" ca="1" si="151"/>
        <v>15</v>
      </c>
      <c r="J1087" s="38" t="str">
        <f t="shared" si="145"/>
        <v>Catherine Serrão</v>
      </c>
      <c r="K1087" s="39">
        <f t="shared" si="146"/>
        <v>1578</v>
      </c>
      <c r="L1087" s="39">
        <f t="shared" si="147"/>
        <v>161737</v>
      </c>
      <c r="M1087" s="40">
        <f t="shared" si="152"/>
        <v>38704</v>
      </c>
      <c r="N1087" s="41" t="str">
        <f t="shared" ca="1" si="153"/>
        <v>Juvenil</v>
      </c>
      <c r="O1087" s="41" t="str">
        <f t="shared" si="148"/>
        <v>F</v>
      </c>
      <c r="P1087" s="60" t="str">
        <f t="shared" si="149"/>
        <v>GDE</v>
      </c>
      <c r="Q1087" s="61"/>
    </row>
    <row r="1088" spans="1:17" ht="13">
      <c r="A1088" s="28">
        <v>1575</v>
      </c>
      <c r="B1088" s="28">
        <v>125867</v>
      </c>
      <c r="C1088" s="129" t="s">
        <v>1181</v>
      </c>
      <c r="D1088" s="128" t="s">
        <v>125</v>
      </c>
      <c r="E1088" s="128" t="s">
        <v>146</v>
      </c>
      <c r="F1088" s="29">
        <v>37483</v>
      </c>
      <c r="G1088" s="56" t="str">
        <f t="shared" ca="1" si="150"/>
        <v>Júnior</v>
      </c>
      <c r="H1088" s="28">
        <f t="shared" ca="1" si="151"/>
        <v>18</v>
      </c>
      <c r="J1088" s="38" t="str">
        <f t="shared" si="145"/>
        <v>Mariana Ferreira</v>
      </c>
      <c r="K1088" s="39">
        <f t="shared" si="146"/>
        <v>1575</v>
      </c>
      <c r="L1088" s="39">
        <f t="shared" si="147"/>
        <v>125867</v>
      </c>
      <c r="M1088" s="40">
        <f t="shared" si="152"/>
        <v>37483</v>
      </c>
      <c r="N1088" s="41" t="str">
        <f t="shared" ca="1" si="153"/>
        <v>Júnior</v>
      </c>
      <c r="O1088" s="41" t="str">
        <f t="shared" si="148"/>
        <v>F</v>
      </c>
      <c r="P1088" s="60" t="str">
        <f t="shared" si="149"/>
        <v>GDE</v>
      </c>
      <c r="Q1088" s="61"/>
    </row>
    <row r="1089" spans="1:17" ht="13">
      <c r="A1089" s="28">
        <v>989</v>
      </c>
      <c r="B1089" s="28">
        <v>124259</v>
      </c>
      <c r="C1089" s="129" t="s">
        <v>886</v>
      </c>
      <c r="D1089" s="128" t="s">
        <v>125</v>
      </c>
      <c r="E1089" s="128" t="s">
        <v>145</v>
      </c>
      <c r="F1089" s="29">
        <v>24352</v>
      </c>
      <c r="G1089" s="56" t="str">
        <f t="shared" ca="1" si="150"/>
        <v>V 50</v>
      </c>
      <c r="H1089" s="28">
        <f t="shared" ca="1" si="151"/>
        <v>54</v>
      </c>
      <c r="J1089" s="38" t="str">
        <f t="shared" si="145"/>
        <v>Alexandre Monteiro</v>
      </c>
      <c r="K1089" s="39">
        <f t="shared" si="146"/>
        <v>989</v>
      </c>
      <c r="L1089" s="39">
        <f t="shared" si="147"/>
        <v>124259</v>
      </c>
      <c r="M1089" s="40">
        <f t="shared" si="152"/>
        <v>24352</v>
      </c>
      <c r="N1089" s="41" t="str">
        <f t="shared" ca="1" si="153"/>
        <v>V 50</v>
      </c>
      <c r="O1089" s="41" t="str">
        <f t="shared" si="148"/>
        <v>M</v>
      </c>
      <c r="P1089" s="60" t="str">
        <f t="shared" si="149"/>
        <v>GDE</v>
      </c>
      <c r="Q1089" s="61"/>
    </row>
    <row r="1090" spans="1:17" ht="13">
      <c r="A1090" s="28">
        <v>227</v>
      </c>
      <c r="B1090" s="28">
        <v>135147</v>
      </c>
      <c r="C1090" s="129" t="s">
        <v>884</v>
      </c>
      <c r="D1090" s="128" t="s">
        <v>125</v>
      </c>
      <c r="E1090" s="128" t="s">
        <v>146</v>
      </c>
      <c r="F1090" s="29">
        <v>24478</v>
      </c>
      <c r="G1090" s="56" t="str">
        <f t="shared" ca="1" si="150"/>
        <v>V 50</v>
      </c>
      <c r="H1090" s="28">
        <f t="shared" ca="1" si="151"/>
        <v>54</v>
      </c>
      <c r="J1090" s="38" t="str">
        <f t="shared" ref="J1090:J1153" si="154">C1090</f>
        <v>Luísa Monteiro</v>
      </c>
      <c r="K1090" s="39">
        <f t="shared" ref="K1090:K1153" si="155">A1090</f>
        <v>227</v>
      </c>
      <c r="L1090" s="39">
        <f t="shared" ref="L1090:L1153" si="156">B1090</f>
        <v>135147</v>
      </c>
      <c r="M1090" s="40">
        <f t="shared" si="152"/>
        <v>24478</v>
      </c>
      <c r="N1090" s="41" t="str">
        <f t="shared" ca="1" si="153"/>
        <v>V 50</v>
      </c>
      <c r="O1090" s="41" t="str">
        <f t="shared" ref="O1090:O1153" si="157">E1090</f>
        <v>F</v>
      </c>
      <c r="P1090" s="60" t="str">
        <f t="shared" ref="P1090:P1153" si="158">D1090</f>
        <v>GDE</v>
      </c>
      <c r="Q1090" s="61"/>
    </row>
    <row r="1091" spans="1:17" ht="13">
      <c r="A1091" s="28">
        <v>1713</v>
      </c>
      <c r="B1091" s="28">
        <v>127764</v>
      </c>
      <c r="C1091" s="129" t="s">
        <v>887</v>
      </c>
      <c r="D1091" s="128" t="s">
        <v>125</v>
      </c>
      <c r="E1091" s="128" t="s">
        <v>145</v>
      </c>
      <c r="F1091" s="29">
        <v>38020</v>
      </c>
      <c r="G1091" s="5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B",IF(YEAR(TODAY())-YEAR(F1091)&lt;14,"Infantil",IF(YEAR(TODAY())-YEAR(F1091)&lt;16,"Iniciado",IF(YEAR(TODAY())-YEAR(F1091)&lt;18,"Juvenil",IF(YEAR(TODAY())-YEAR(F1091)&lt;20,"Júnior",IF(YEAR(TODAY())-YEAR(F1091)&lt;23,"sub 23",IF(ROUNDDOWN(INT(TODAY()-F1091)/365.25,0)&lt;35,"Sénior",IF(ROUNDDOWN(INT(TODAY()-F1091)/365.25,0)&lt;40,"V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65",IF(ROUNDDOWN(INT(TODAY()-F1091)/365.25,0)&lt;75,"V 70",IF(ROUNDDOWN(INT(TODAY()-F1091)/365.25,0)&lt;80,"V 75",IF(ROUNDDOWN(INT(TODAY()-F1091)/365.25,0)&lt;85,"V 80",IF(ROUNDDOWN(INT(TODAY()-F1091)/365.25,0)&lt;90,"V 85",IF(ROUNDDOWN(INT(TODAY()-F1091)/365.25,0)&lt;95,"V 90",IF(ROUNDDOWN(INT(TODAY()-F1091)/365.25,0)&lt;100,"V 95",IF(ROUNDDOWN(INT(TODAY()-F1091)/365.25,0)&gt;=100,"V 100",""))))))))))))))))))))))),"")</f>
        <v>Juvenil</v>
      </c>
      <c r="H1091" s="28">
        <f t="shared" ref="H1091:H1154" ca="1" si="160">IFERROR(IF($A1091&gt;0,ROUNDDOWN(INT(TODAY()-F1091)/365.25,0),""),"")</f>
        <v>17</v>
      </c>
      <c r="J1091" s="38" t="str">
        <f t="shared" si="154"/>
        <v>Pedro Monteiro</v>
      </c>
      <c r="K1091" s="39">
        <f t="shared" si="155"/>
        <v>1713</v>
      </c>
      <c r="L1091" s="39">
        <f t="shared" si="156"/>
        <v>127764</v>
      </c>
      <c r="M1091" s="40">
        <f t="shared" ref="M1091:M1154" si="161">F1091</f>
        <v>38020</v>
      </c>
      <c r="N1091" s="41" t="str">
        <f t="shared" ref="N1091:N1154" ca="1" si="162">G1091</f>
        <v>Juvenil</v>
      </c>
      <c r="O1091" s="41" t="str">
        <f t="shared" si="157"/>
        <v>M</v>
      </c>
      <c r="P1091" s="60" t="str">
        <f t="shared" si="158"/>
        <v>GDE</v>
      </c>
      <c r="Q1091" s="61"/>
    </row>
    <row r="1092" spans="1:17" ht="13">
      <c r="A1092" s="28">
        <v>988</v>
      </c>
      <c r="B1092" s="28">
        <v>139218</v>
      </c>
      <c r="C1092" s="129" t="s">
        <v>1356</v>
      </c>
      <c r="D1092" s="128" t="s">
        <v>125</v>
      </c>
      <c r="E1092" s="128" t="s">
        <v>145</v>
      </c>
      <c r="F1092" s="29">
        <v>25200</v>
      </c>
      <c r="G1092" s="56" t="str">
        <f t="shared" ca="1" si="159"/>
        <v>V 50</v>
      </c>
      <c r="H1092" s="28">
        <f t="shared" ca="1" si="160"/>
        <v>52</v>
      </c>
      <c r="J1092" s="38" t="str">
        <f t="shared" si="154"/>
        <v>Pedro Nuno Freitas</v>
      </c>
      <c r="K1092" s="39">
        <f t="shared" si="155"/>
        <v>988</v>
      </c>
      <c r="L1092" s="39">
        <f t="shared" si="156"/>
        <v>139218</v>
      </c>
      <c r="M1092" s="40">
        <f t="shared" si="161"/>
        <v>25200</v>
      </c>
      <c r="N1092" s="41" t="str">
        <f t="shared" ca="1" si="162"/>
        <v>V 50</v>
      </c>
      <c r="O1092" s="41" t="str">
        <f t="shared" si="157"/>
        <v>M</v>
      </c>
      <c r="P1092" s="60" t="str">
        <f t="shared" si="158"/>
        <v>GDE</v>
      </c>
      <c r="Q1092" s="61"/>
    </row>
    <row r="1093" spans="1:17" ht="13">
      <c r="A1093" s="28">
        <v>1576</v>
      </c>
      <c r="B1093" s="28">
        <v>140078</v>
      </c>
      <c r="C1093" s="129" t="s">
        <v>449</v>
      </c>
      <c r="D1093" s="128" t="s">
        <v>125</v>
      </c>
      <c r="E1093" s="128" t="s">
        <v>146</v>
      </c>
      <c r="F1093" s="29">
        <v>37480</v>
      </c>
      <c r="G1093" s="56" t="str">
        <f t="shared" ca="1" si="159"/>
        <v>Júnior</v>
      </c>
      <c r="H1093" s="28">
        <f t="shared" ca="1" si="160"/>
        <v>18</v>
      </c>
      <c r="J1093" s="38" t="str">
        <f t="shared" si="154"/>
        <v>Clara Azevedo</v>
      </c>
      <c r="K1093" s="39">
        <f t="shared" si="155"/>
        <v>1576</v>
      </c>
      <c r="L1093" s="39">
        <f t="shared" si="156"/>
        <v>140078</v>
      </c>
      <c r="M1093" s="40">
        <f t="shared" si="161"/>
        <v>37480</v>
      </c>
      <c r="N1093" s="41" t="str">
        <f t="shared" ca="1" si="162"/>
        <v>Júnior</v>
      </c>
      <c r="O1093" s="41" t="str">
        <f t="shared" si="157"/>
        <v>F</v>
      </c>
      <c r="P1093" s="60" t="str">
        <f t="shared" si="158"/>
        <v>GDE</v>
      </c>
      <c r="Q1093" s="61"/>
    </row>
    <row r="1094" spans="1:17" ht="13">
      <c r="A1094" s="28">
        <v>1577</v>
      </c>
      <c r="B1094" s="28">
        <v>133001</v>
      </c>
      <c r="C1094" s="129" t="s">
        <v>253</v>
      </c>
      <c r="D1094" s="128" t="s">
        <v>125</v>
      </c>
      <c r="E1094" s="128" t="s">
        <v>146</v>
      </c>
      <c r="F1094" s="29">
        <v>37502</v>
      </c>
      <c r="G1094" s="56" t="str">
        <f t="shared" ca="1" si="159"/>
        <v>Júnior</v>
      </c>
      <c r="H1094" s="28">
        <f t="shared" ca="1" si="160"/>
        <v>18</v>
      </c>
      <c r="J1094" s="38" t="str">
        <f t="shared" si="154"/>
        <v>Milena Lucena</v>
      </c>
      <c r="K1094" s="39">
        <f t="shared" si="155"/>
        <v>1577</v>
      </c>
      <c r="L1094" s="39">
        <f t="shared" si="156"/>
        <v>133001</v>
      </c>
      <c r="M1094" s="40">
        <f t="shared" si="161"/>
        <v>37502</v>
      </c>
      <c r="N1094" s="41" t="str">
        <f t="shared" ca="1" si="162"/>
        <v>Júnior</v>
      </c>
      <c r="O1094" s="41" t="str">
        <f t="shared" si="157"/>
        <v>F</v>
      </c>
      <c r="P1094" s="60" t="str">
        <f t="shared" si="158"/>
        <v>GDE</v>
      </c>
      <c r="Q1094" s="61"/>
    </row>
    <row r="1095" spans="1:17" ht="13">
      <c r="A1095" s="28">
        <v>224</v>
      </c>
      <c r="B1095" s="28">
        <v>123414</v>
      </c>
      <c r="C1095" s="129" t="s">
        <v>885</v>
      </c>
      <c r="D1095" s="128" t="s">
        <v>125</v>
      </c>
      <c r="E1095" s="128" t="s">
        <v>146</v>
      </c>
      <c r="F1095" s="29">
        <v>36092</v>
      </c>
      <c r="G1095" s="56" t="str">
        <f t="shared" ca="1" si="159"/>
        <v>Sénior</v>
      </c>
      <c r="H1095" s="28">
        <f t="shared" ca="1" si="160"/>
        <v>22</v>
      </c>
      <c r="J1095" s="38" t="str">
        <f t="shared" si="154"/>
        <v>Ana Monteiro</v>
      </c>
      <c r="K1095" s="39">
        <f t="shared" si="155"/>
        <v>224</v>
      </c>
      <c r="L1095" s="39">
        <f t="shared" si="156"/>
        <v>123414</v>
      </c>
      <c r="M1095" s="40">
        <f t="shared" si="161"/>
        <v>36092</v>
      </c>
      <c r="N1095" s="41" t="str">
        <f t="shared" ca="1" si="162"/>
        <v>Sénior</v>
      </c>
      <c r="O1095" s="41" t="str">
        <f t="shared" si="157"/>
        <v>F</v>
      </c>
      <c r="P1095" s="60" t="str">
        <f t="shared" si="158"/>
        <v>GDE</v>
      </c>
      <c r="Q1095" s="61"/>
    </row>
    <row r="1096" spans="1:17" ht="13">
      <c r="A1096" s="28">
        <v>1715</v>
      </c>
      <c r="B1096" s="28">
        <v>128139</v>
      </c>
      <c r="C1096" s="129" t="s">
        <v>130</v>
      </c>
      <c r="D1096" s="128" t="s">
        <v>125</v>
      </c>
      <c r="E1096" s="128" t="s">
        <v>145</v>
      </c>
      <c r="F1096" s="29">
        <v>37694</v>
      </c>
      <c r="G1096" s="56" t="str">
        <f t="shared" ca="1" si="159"/>
        <v>Júnior</v>
      </c>
      <c r="H1096" s="28">
        <f t="shared" ca="1" si="160"/>
        <v>18</v>
      </c>
      <c r="J1096" s="38" t="str">
        <f t="shared" si="154"/>
        <v>Bruno Pita</v>
      </c>
      <c r="K1096" s="39">
        <f t="shared" si="155"/>
        <v>1715</v>
      </c>
      <c r="L1096" s="39">
        <f t="shared" si="156"/>
        <v>128139</v>
      </c>
      <c r="M1096" s="40">
        <f t="shared" si="161"/>
        <v>37694</v>
      </c>
      <c r="N1096" s="41" t="str">
        <f t="shared" ca="1" si="162"/>
        <v>Júnior</v>
      </c>
      <c r="O1096" s="41" t="str">
        <f t="shared" si="157"/>
        <v>M</v>
      </c>
      <c r="P1096" s="60" t="str">
        <f t="shared" si="158"/>
        <v>GDE</v>
      </c>
      <c r="Q1096" s="61"/>
    </row>
    <row r="1097" spans="1:17" ht="13">
      <c r="A1097" s="28">
        <v>994</v>
      </c>
      <c r="B1097" s="28">
        <v>129165</v>
      </c>
      <c r="C1097" s="129" t="s">
        <v>1259</v>
      </c>
      <c r="D1097" s="128" t="s">
        <v>125</v>
      </c>
      <c r="E1097" s="128" t="s">
        <v>145</v>
      </c>
      <c r="F1097" s="29">
        <v>33930</v>
      </c>
      <c r="G1097" s="56" t="str">
        <f t="shared" ca="1" si="159"/>
        <v>Sénior</v>
      </c>
      <c r="H1097" s="28">
        <f t="shared" ca="1" si="160"/>
        <v>28</v>
      </c>
      <c r="J1097" s="38" t="str">
        <f t="shared" si="154"/>
        <v>Davide Teixeira</v>
      </c>
      <c r="K1097" s="39">
        <f t="shared" si="155"/>
        <v>994</v>
      </c>
      <c r="L1097" s="39">
        <f t="shared" si="156"/>
        <v>129165</v>
      </c>
      <c r="M1097" s="40">
        <f t="shared" si="161"/>
        <v>33930</v>
      </c>
      <c r="N1097" s="41" t="str">
        <f t="shared" ca="1" si="162"/>
        <v>Sénior</v>
      </c>
      <c r="O1097" s="41" t="str">
        <f t="shared" si="157"/>
        <v>M</v>
      </c>
      <c r="P1097" s="60" t="str">
        <f t="shared" si="158"/>
        <v>GDE</v>
      </c>
      <c r="Q1097" s="61"/>
    </row>
    <row r="1098" spans="1:17" ht="13">
      <c r="A1098" s="28">
        <v>225</v>
      </c>
      <c r="B1098" s="28">
        <v>124388</v>
      </c>
      <c r="C1098" s="129" t="s">
        <v>1376</v>
      </c>
      <c r="D1098" s="128" t="s">
        <v>125</v>
      </c>
      <c r="E1098" s="128" t="s">
        <v>146</v>
      </c>
      <c r="F1098" s="29">
        <v>33886</v>
      </c>
      <c r="G1098" s="56" t="str">
        <f t="shared" ca="1" si="159"/>
        <v>Sénior</v>
      </c>
      <c r="H1098" s="28">
        <f t="shared" ca="1" si="160"/>
        <v>28</v>
      </c>
      <c r="J1098" s="38" t="str">
        <f t="shared" si="154"/>
        <v>Cátia Santos</v>
      </c>
      <c r="K1098" s="39">
        <f t="shared" si="155"/>
        <v>225</v>
      </c>
      <c r="L1098" s="39">
        <f t="shared" si="156"/>
        <v>124388</v>
      </c>
      <c r="M1098" s="40">
        <f t="shared" si="161"/>
        <v>33886</v>
      </c>
      <c r="N1098" s="41" t="str">
        <f t="shared" ca="1" si="162"/>
        <v>Sénior</v>
      </c>
      <c r="O1098" s="41" t="str">
        <f t="shared" si="157"/>
        <v>F</v>
      </c>
      <c r="P1098" s="60" t="str">
        <f t="shared" si="158"/>
        <v>GDE</v>
      </c>
      <c r="Q1098" s="61"/>
    </row>
    <row r="1099" spans="1:17" ht="13">
      <c r="A1099" s="28">
        <v>991</v>
      </c>
      <c r="B1099" s="28">
        <v>124636</v>
      </c>
      <c r="C1099" s="129" t="s">
        <v>1377</v>
      </c>
      <c r="D1099" s="128" t="s">
        <v>125</v>
      </c>
      <c r="E1099" s="128" t="s">
        <v>145</v>
      </c>
      <c r="F1099" s="29">
        <v>30648</v>
      </c>
      <c r="G1099" s="56" t="str">
        <f t="shared" ca="1" si="159"/>
        <v>V 35</v>
      </c>
      <c r="H1099" s="28">
        <f t="shared" ca="1" si="160"/>
        <v>37</v>
      </c>
      <c r="J1099" s="38" t="str">
        <f t="shared" si="154"/>
        <v>Diogo Sousa</v>
      </c>
      <c r="K1099" s="39">
        <f t="shared" si="155"/>
        <v>991</v>
      </c>
      <c r="L1099" s="39">
        <f t="shared" si="156"/>
        <v>124636</v>
      </c>
      <c r="M1099" s="40">
        <f t="shared" si="161"/>
        <v>30648</v>
      </c>
      <c r="N1099" s="41" t="str">
        <f t="shared" ca="1" si="162"/>
        <v>V 35</v>
      </c>
      <c r="O1099" s="41" t="str">
        <f t="shared" si="157"/>
        <v>M</v>
      </c>
      <c r="P1099" s="60" t="str">
        <f t="shared" si="158"/>
        <v>GDE</v>
      </c>
      <c r="Q1099" s="61"/>
    </row>
    <row r="1100" spans="1:17" ht="13">
      <c r="A1100" s="28">
        <v>2058</v>
      </c>
      <c r="B1100" s="28">
        <v>163814</v>
      </c>
      <c r="C1100" s="129" t="s">
        <v>1563</v>
      </c>
      <c r="D1100" s="128" t="s">
        <v>123</v>
      </c>
      <c r="E1100" s="128" t="s">
        <v>146</v>
      </c>
      <c r="F1100" s="29">
        <v>41730</v>
      </c>
      <c r="G1100" s="56" t="str">
        <f t="shared" ca="1" si="159"/>
        <v>Benjamim A</v>
      </c>
      <c r="H1100" s="28">
        <f t="shared" ca="1" si="160"/>
        <v>7</v>
      </c>
      <c r="J1100" s="38" t="str">
        <f t="shared" si="154"/>
        <v>Margarida Teixeira</v>
      </c>
      <c r="K1100" s="39">
        <f t="shared" si="155"/>
        <v>2058</v>
      </c>
      <c r="L1100" s="39">
        <f t="shared" si="156"/>
        <v>163814</v>
      </c>
      <c r="M1100" s="40">
        <f t="shared" si="161"/>
        <v>41730</v>
      </c>
      <c r="N1100" s="41" t="str">
        <f t="shared" ca="1" si="162"/>
        <v>Benjamim A</v>
      </c>
      <c r="O1100" s="41" t="str">
        <f t="shared" si="157"/>
        <v>F</v>
      </c>
      <c r="P1100" s="60" t="str">
        <f t="shared" si="158"/>
        <v>AJS</v>
      </c>
      <c r="Q1100" s="61"/>
    </row>
    <row r="1101" spans="1:17" ht="13">
      <c r="A1101" s="28">
        <v>2063</v>
      </c>
      <c r="B1101" s="28">
        <v>156677</v>
      </c>
      <c r="C1101" s="129" t="s">
        <v>1068</v>
      </c>
      <c r="D1101" s="128" t="s">
        <v>123</v>
      </c>
      <c r="E1101" s="128" t="s">
        <v>146</v>
      </c>
      <c r="F1101" s="29">
        <v>40275</v>
      </c>
      <c r="G1101" s="56" t="str">
        <f t="shared" ca="1" si="159"/>
        <v>Benjamim B</v>
      </c>
      <c r="H1101" s="28">
        <f t="shared" ca="1" si="160"/>
        <v>11</v>
      </c>
      <c r="J1101" s="38" t="str">
        <f t="shared" si="154"/>
        <v>Clara Teixeira</v>
      </c>
      <c r="K1101" s="39">
        <f t="shared" si="155"/>
        <v>2063</v>
      </c>
      <c r="L1101" s="39">
        <f t="shared" si="156"/>
        <v>156677</v>
      </c>
      <c r="M1101" s="40">
        <f t="shared" si="161"/>
        <v>40275</v>
      </c>
      <c r="N1101" s="41" t="str">
        <f t="shared" ca="1" si="162"/>
        <v>Benjamim B</v>
      </c>
      <c r="O1101" s="41" t="str">
        <f t="shared" si="157"/>
        <v>F</v>
      </c>
      <c r="P1101" s="60" t="str">
        <f t="shared" si="158"/>
        <v>AJS</v>
      </c>
      <c r="Q1101" s="61"/>
    </row>
    <row r="1102" spans="1:17" ht="13">
      <c r="A1102" s="28">
        <v>1557</v>
      </c>
      <c r="B1102" s="28">
        <v>137234</v>
      </c>
      <c r="C1102" s="129" t="s">
        <v>1394</v>
      </c>
      <c r="D1102" s="128" t="s">
        <v>123</v>
      </c>
      <c r="E1102" s="128" t="s">
        <v>146</v>
      </c>
      <c r="F1102" s="29">
        <v>37573</v>
      </c>
      <c r="G1102" s="56" t="str">
        <f t="shared" ca="1" si="159"/>
        <v>Júnior</v>
      </c>
      <c r="H1102" s="28">
        <f t="shared" ca="1" si="160"/>
        <v>18</v>
      </c>
      <c r="J1102" s="38" t="str">
        <f t="shared" si="154"/>
        <v>Inês Camacho</v>
      </c>
      <c r="K1102" s="39">
        <f t="shared" si="155"/>
        <v>1557</v>
      </c>
      <c r="L1102" s="39">
        <f t="shared" si="156"/>
        <v>137234</v>
      </c>
      <c r="M1102" s="40">
        <f t="shared" si="161"/>
        <v>37573</v>
      </c>
      <c r="N1102" s="41" t="str">
        <f t="shared" ca="1" si="162"/>
        <v>Júnior</v>
      </c>
      <c r="O1102" s="41" t="str">
        <f t="shared" si="157"/>
        <v>F</v>
      </c>
      <c r="P1102" s="60" t="str">
        <f t="shared" si="158"/>
        <v>AJS</v>
      </c>
      <c r="Q1102" s="61"/>
    </row>
    <row r="1103" spans="1:17" ht="13">
      <c r="A1103" s="28">
        <v>2045</v>
      </c>
      <c r="B1103" s="28">
        <v>152810</v>
      </c>
      <c r="C1103" s="129" t="s">
        <v>845</v>
      </c>
      <c r="D1103" s="128" t="s">
        <v>123</v>
      </c>
      <c r="E1103" s="128" t="s">
        <v>145</v>
      </c>
      <c r="F1103" s="29">
        <v>39555</v>
      </c>
      <c r="G1103" s="56" t="str">
        <f t="shared" ca="1" si="159"/>
        <v>Infantil</v>
      </c>
      <c r="H1103" s="28">
        <f t="shared" ca="1" si="160"/>
        <v>13</v>
      </c>
      <c r="J1103" s="38" t="str">
        <f t="shared" si="154"/>
        <v>Guilherme Pita</v>
      </c>
      <c r="K1103" s="39">
        <f t="shared" si="155"/>
        <v>2045</v>
      </c>
      <c r="L1103" s="39">
        <f t="shared" si="156"/>
        <v>152810</v>
      </c>
      <c r="M1103" s="40">
        <f t="shared" si="161"/>
        <v>39555</v>
      </c>
      <c r="N1103" s="41" t="str">
        <f t="shared" ca="1" si="162"/>
        <v>Infantil</v>
      </c>
      <c r="O1103" s="41" t="str">
        <f t="shared" si="157"/>
        <v>M</v>
      </c>
      <c r="P1103" s="60" t="str">
        <f t="shared" si="158"/>
        <v>AJS</v>
      </c>
      <c r="Q1103" s="61"/>
    </row>
    <row r="1104" spans="1:17" ht="13">
      <c r="A1104" s="28">
        <v>2059</v>
      </c>
      <c r="B1104" s="28">
        <v>146834</v>
      </c>
      <c r="C1104" s="129" t="s">
        <v>976</v>
      </c>
      <c r="D1104" s="128" t="s">
        <v>123</v>
      </c>
      <c r="E1104" s="128" t="s">
        <v>146</v>
      </c>
      <c r="F1104" s="29">
        <v>41047</v>
      </c>
      <c r="G1104" s="56" t="str">
        <f t="shared" ca="1" si="159"/>
        <v>Benjamim A</v>
      </c>
      <c r="H1104" s="28">
        <f t="shared" ca="1" si="160"/>
        <v>8</v>
      </c>
      <c r="J1104" s="38" t="str">
        <f t="shared" si="154"/>
        <v>Maria Inês Gomes</v>
      </c>
      <c r="K1104" s="39">
        <f t="shared" si="155"/>
        <v>2059</v>
      </c>
      <c r="L1104" s="39">
        <f t="shared" si="156"/>
        <v>146834</v>
      </c>
      <c r="M1104" s="40">
        <f t="shared" si="161"/>
        <v>41047</v>
      </c>
      <c r="N1104" s="41" t="str">
        <f t="shared" ca="1" si="162"/>
        <v>Benjamim A</v>
      </c>
      <c r="O1104" s="41" t="str">
        <f t="shared" si="157"/>
        <v>F</v>
      </c>
      <c r="P1104" s="60" t="str">
        <f t="shared" si="158"/>
        <v>AJS</v>
      </c>
      <c r="Q1104" s="61"/>
    </row>
    <row r="1105" spans="1:17" ht="13">
      <c r="A1105" s="28">
        <v>2064</v>
      </c>
      <c r="B1105" s="28">
        <v>163811</v>
      </c>
      <c r="C1105" s="129" t="s">
        <v>1564</v>
      </c>
      <c r="D1105" s="128" t="s">
        <v>123</v>
      </c>
      <c r="E1105" s="128" t="s">
        <v>146</v>
      </c>
      <c r="F1105" s="29">
        <v>40179</v>
      </c>
      <c r="G1105" s="56" t="str">
        <f t="shared" ca="1" si="159"/>
        <v>Benjamim B</v>
      </c>
      <c r="H1105" s="28">
        <f t="shared" ca="1" si="160"/>
        <v>11</v>
      </c>
      <c r="J1105" s="38" t="str">
        <f t="shared" si="154"/>
        <v>Ana Quintal</v>
      </c>
      <c r="K1105" s="39">
        <f t="shared" si="155"/>
        <v>2064</v>
      </c>
      <c r="L1105" s="39">
        <f t="shared" si="156"/>
        <v>163811</v>
      </c>
      <c r="M1105" s="40">
        <f t="shared" si="161"/>
        <v>40179</v>
      </c>
      <c r="N1105" s="41" t="str">
        <f t="shared" ca="1" si="162"/>
        <v>Benjamim B</v>
      </c>
      <c r="O1105" s="41" t="str">
        <f t="shared" si="157"/>
        <v>F</v>
      </c>
      <c r="P1105" s="60" t="str">
        <f t="shared" si="158"/>
        <v>AJS</v>
      </c>
      <c r="Q1105" s="61"/>
    </row>
    <row r="1106" spans="1:17" ht="13">
      <c r="A1106" s="28">
        <v>1735</v>
      </c>
      <c r="B1106" s="28">
        <v>163282</v>
      </c>
      <c r="C1106" s="129" t="s">
        <v>1576</v>
      </c>
      <c r="D1106" s="128" t="s">
        <v>123</v>
      </c>
      <c r="E1106" s="128" t="s">
        <v>145</v>
      </c>
      <c r="F1106" s="29">
        <v>37651</v>
      </c>
      <c r="G1106" s="56" t="str">
        <f t="shared" ca="1" si="159"/>
        <v>Júnior</v>
      </c>
      <c r="H1106" s="28">
        <f t="shared" ca="1" si="160"/>
        <v>18</v>
      </c>
      <c r="J1106" s="38" t="str">
        <f t="shared" si="154"/>
        <v>Nino Pereira</v>
      </c>
      <c r="K1106" s="39">
        <f t="shared" si="155"/>
        <v>1735</v>
      </c>
      <c r="L1106" s="39">
        <f t="shared" si="156"/>
        <v>163282</v>
      </c>
      <c r="M1106" s="40">
        <f t="shared" si="161"/>
        <v>37651</v>
      </c>
      <c r="N1106" s="41" t="str">
        <f t="shared" ca="1" si="162"/>
        <v>Júnior</v>
      </c>
      <c r="O1106" s="41" t="str">
        <f t="shared" si="157"/>
        <v>M</v>
      </c>
      <c r="P1106" s="60" t="str">
        <f t="shared" si="158"/>
        <v>AJS</v>
      </c>
      <c r="Q1106" s="61"/>
    </row>
    <row r="1107" spans="1:17" ht="13">
      <c r="A1107" s="28">
        <v>269</v>
      </c>
      <c r="B1107" s="28">
        <v>135763</v>
      </c>
      <c r="C1107" s="129" t="s">
        <v>414</v>
      </c>
      <c r="D1107" s="128" t="s">
        <v>671</v>
      </c>
      <c r="E1107" s="128" t="s">
        <v>146</v>
      </c>
      <c r="F1107" s="29">
        <v>28052</v>
      </c>
      <c r="G1107" s="56" t="str">
        <f t="shared" ca="1" si="159"/>
        <v>V 40</v>
      </c>
      <c r="H1107" s="28">
        <f t="shared" ca="1" si="160"/>
        <v>44</v>
      </c>
      <c r="J1107" s="38" t="str">
        <f t="shared" si="154"/>
        <v>Alice Sousa</v>
      </c>
      <c r="K1107" s="39">
        <f t="shared" si="155"/>
        <v>269</v>
      </c>
      <c r="L1107" s="39">
        <f t="shared" si="156"/>
        <v>135763</v>
      </c>
      <c r="M1107" s="40">
        <f t="shared" si="161"/>
        <v>28052</v>
      </c>
      <c r="N1107" s="41" t="str">
        <f t="shared" ca="1" si="162"/>
        <v>V 40</v>
      </c>
      <c r="O1107" s="41" t="str">
        <f t="shared" si="157"/>
        <v>F</v>
      </c>
      <c r="P1107" s="60" t="str">
        <f t="shared" si="158"/>
        <v>VIP-RC</v>
      </c>
      <c r="Q1107" s="61"/>
    </row>
    <row r="1108" spans="1:17" ht="13">
      <c r="A1108" s="28">
        <v>1373</v>
      </c>
      <c r="B1108" s="28">
        <v>146457</v>
      </c>
      <c r="C1108" s="129" t="s">
        <v>623</v>
      </c>
      <c r="D1108" s="128" t="s">
        <v>509</v>
      </c>
      <c r="E1108" s="128" t="s">
        <v>145</v>
      </c>
      <c r="F1108" s="29">
        <v>24502</v>
      </c>
      <c r="G1108" s="56" t="str">
        <f t="shared" ca="1" si="159"/>
        <v>V 50</v>
      </c>
      <c r="H1108" s="28">
        <f t="shared" ca="1" si="160"/>
        <v>54</v>
      </c>
      <c r="J1108" s="38" t="str">
        <f t="shared" si="154"/>
        <v>Xavier Aveiro</v>
      </c>
      <c r="K1108" s="39">
        <f t="shared" si="155"/>
        <v>1373</v>
      </c>
      <c r="L1108" s="39">
        <f t="shared" si="156"/>
        <v>146457</v>
      </c>
      <c r="M1108" s="40">
        <f t="shared" si="161"/>
        <v>24502</v>
      </c>
      <c r="N1108" s="41" t="str">
        <f t="shared" ca="1" si="162"/>
        <v>V 50</v>
      </c>
      <c r="O1108" s="41" t="str">
        <f t="shared" si="157"/>
        <v>M</v>
      </c>
      <c r="P1108" s="60" t="str">
        <f t="shared" si="158"/>
        <v>APCTT</v>
      </c>
      <c r="Q1108" s="61"/>
    </row>
    <row r="1109" spans="1:17" ht="13">
      <c r="A1109" s="28">
        <v>74</v>
      </c>
      <c r="B1109" s="28">
        <v>152510</v>
      </c>
      <c r="C1109" s="129" t="s">
        <v>824</v>
      </c>
      <c r="D1109" s="128" t="s">
        <v>509</v>
      </c>
      <c r="E1109" s="128" t="s">
        <v>146</v>
      </c>
      <c r="F1109" s="29">
        <v>26659</v>
      </c>
      <c r="G1109" s="56" t="str">
        <f t="shared" ca="1" si="159"/>
        <v>V 45</v>
      </c>
      <c r="H1109" s="28">
        <f t="shared" ca="1" si="160"/>
        <v>48</v>
      </c>
      <c r="J1109" s="38" t="str">
        <f t="shared" si="154"/>
        <v>Nélia Gomes</v>
      </c>
      <c r="K1109" s="39">
        <f t="shared" si="155"/>
        <v>74</v>
      </c>
      <c r="L1109" s="39">
        <f t="shared" si="156"/>
        <v>152510</v>
      </c>
      <c r="M1109" s="40">
        <f t="shared" si="161"/>
        <v>26659</v>
      </c>
      <c r="N1109" s="41" t="str">
        <f t="shared" ca="1" si="162"/>
        <v>V 45</v>
      </c>
      <c r="O1109" s="41" t="str">
        <f t="shared" si="157"/>
        <v>F</v>
      </c>
      <c r="P1109" s="60" t="str">
        <f t="shared" si="158"/>
        <v>APCTT</v>
      </c>
      <c r="Q1109" s="61"/>
    </row>
    <row r="1110" spans="1:17" ht="13">
      <c r="A1110" s="28">
        <v>1728</v>
      </c>
      <c r="B1110" s="28">
        <v>157904</v>
      </c>
      <c r="C1110" s="129" t="s">
        <v>1464</v>
      </c>
      <c r="D1110" s="128" t="s">
        <v>509</v>
      </c>
      <c r="E1110" s="128" t="s">
        <v>145</v>
      </c>
      <c r="F1110" s="29">
        <v>37736</v>
      </c>
      <c r="G1110" s="56" t="str">
        <f t="shared" ca="1" si="159"/>
        <v>Júnior</v>
      </c>
      <c r="H1110" s="28">
        <f t="shared" ca="1" si="160"/>
        <v>17</v>
      </c>
      <c r="J1110" s="38" t="str">
        <f t="shared" si="154"/>
        <v>Diogo Bacanhim</v>
      </c>
      <c r="K1110" s="39">
        <f t="shared" si="155"/>
        <v>1728</v>
      </c>
      <c r="L1110" s="39">
        <f t="shared" si="156"/>
        <v>157904</v>
      </c>
      <c r="M1110" s="40">
        <f t="shared" si="161"/>
        <v>37736</v>
      </c>
      <c r="N1110" s="41" t="str">
        <f t="shared" ca="1" si="162"/>
        <v>Júnior</v>
      </c>
      <c r="O1110" s="41" t="str">
        <f t="shared" si="157"/>
        <v>M</v>
      </c>
      <c r="P1110" s="60" t="str">
        <f t="shared" si="158"/>
        <v>APCTT</v>
      </c>
      <c r="Q1110" s="61"/>
    </row>
    <row r="1111" spans="1:17" ht="13">
      <c r="A1111" s="28">
        <v>2044</v>
      </c>
      <c r="B1111" s="28">
        <v>153106</v>
      </c>
      <c r="C1111" s="129" t="s">
        <v>944</v>
      </c>
      <c r="D1111" s="128" t="s">
        <v>509</v>
      </c>
      <c r="E1111" s="128" t="s">
        <v>145</v>
      </c>
      <c r="F1111" s="29">
        <v>40053</v>
      </c>
      <c r="G1111" s="56" t="str">
        <f t="shared" ca="1" si="159"/>
        <v>Infantil</v>
      </c>
      <c r="H1111" s="28">
        <f t="shared" ca="1" si="160"/>
        <v>11</v>
      </c>
      <c r="J1111" s="38" t="str">
        <f t="shared" si="154"/>
        <v>João Tavares</v>
      </c>
      <c r="K1111" s="39">
        <f t="shared" si="155"/>
        <v>2044</v>
      </c>
      <c r="L1111" s="39">
        <f t="shared" si="156"/>
        <v>153106</v>
      </c>
      <c r="M1111" s="40">
        <f t="shared" si="161"/>
        <v>40053</v>
      </c>
      <c r="N1111" s="41" t="str">
        <f t="shared" ca="1" si="162"/>
        <v>Infantil</v>
      </c>
      <c r="O1111" s="41" t="str">
        <f t="shared" si="157"/>
        <v>M</v>
      </c>
      <c r="P1111" s="60" t="str">
        <f t="shared" si="158"/>
        <v>APCTT</v>
      </c>
      <c r="Q1111" s="61"/>
    </row>
    <row r="1112" spans="1:17" ht="13">
      <c r="A1112" s="28">
        <v>2242</v>
      </c>
      <c r="B1112" s="28">
        <v>153214</v>
      </c>
      <c r="C1112" s="129" t="s">
        <v>829</v>
      </c>
      <c r="D1112" s="128" t="s">
        <v>509</v>
      </c>
      <c r="E1112" s="128" t="s">
        <v>145</v>
      </c>
      <c r="F1112" s="29">
        <v>41174</v>
      </c>
      <c r="G1112" s="56" t="str">
        <f t="shared" ca="1" si="159"/>
        <v>Benjamim A</v>
      </c>
      <c r="H1112" s="28">
        <f t="shared" ca="1" si="160"/>
        <v>8</v>
      </c>
      <c r="J1112" s="38" t="str">
        <f t="shared" si="154"/>
        <v>Simão Tavares</v>
      </c>
      <c r="K1112" s="39">
        <f t="shared" si="155"/>
        <v>2242</v>
      </c>
      <c r="L1112" s="39">
        <f t="shared" si="156"/>
        <v>153214</v>
      </c>
      <c r="M1112" s="40">
        <f t="shared" si="161"/>
        <v>41174</v>
      </c>
      <c r="N1112" s="41" t="str">
        <f t="shared" ca="1" si="162"/>
        <v>Benjamim A</v>
      </c>
      <c r="O1112" s="41" t="str">
        <f t="shared" si="157"/>
        <v>M</v>
      </c>
      <c r="P1112" s="60" t="str">
        <f t="shared" si="158"/>
        <v>APCTT</v>
      </c>
      <c r="Q1112" s="61"/>
    </row>
    <row r="1113" spans="1:17" ht="13">
      <c r="A1113" s="28">
        <v>70</v>
      </c>
      <c r="B1113" s="28">
        <v>140749</v>
      </c>
      <c r="C1113" s="129" t="s">
        <v>493</v>
      </c>
      <c r="D1113" s="128" t="s">
        <v>509</v>
      </c>
      <c r="E1113" s="128" t="s">
        <v>146</v>
      </c>
      <c r="F1113" s="29">
        <v>28624</v>
      </c>
      <c r="G1113" s="56" t="str">
        <f t="shared" ca="1" si="159"/>
        <v>V 40</v>
      </c>
      <c r="H1113" s="28">
        <f t="shared" ca="1" si="160"/>
        <v>42</v>
      </c>
      <c r="J1113" s="38" t="str">
        <f t="shared" si="154"/>
        <v>Lisandra Tavares</v>
      </c>
      <c r="K1113" s="39">
        <f t="shared" si="155"/>
        <v>70</v>
      </c>
      <c r="L1113" s="39">
        <f t="shared" si="156"/>
        <v>140749</v>
      </c>
      <c r="M1113" s="40">
        <f t="shared" si="161"/>
        <v>28624</v>
      </c>
      <c r="N1113" s="41" t="str">
        <f t="shared" ca="1" si="162"/>
        <v>V 40</v>
      </c>
      <c r="O1113" s="41" t="str">
        <f t="shared" si="157"/>
        <v>F</v>
      </c>
      <c r="P1113" s="60" t="str">
        <f t="shared" si="158"/>
        <v>APCTT</v>
      </c>
      <c r="Q1113" s="61"/>
    </row>
    <row r="1114" spans="1:17" ht="13">
      <c r="A1114" s="28">
        <v>62</v>
      </c>
      <c r="B1114" s="28">
        <v>153143</v>
      </c>
      <c r="C1114" s="129" t="s">
        <v>941</v>
      </c>
      <c r="D1114" s="128" t="s">
        <v>509</v>
      </c>
      <c r="E1114" s="128" t="s">
        <v>146</v>
      </c>
      <c r="F1114" s="29">
        <v>33246</v>
      </c>
      <c r="G1114" s="56" t="str">
        <f t="shared" ca="1" si="159"/>
        <v>Sénior</v>
      </c>
      <c r="H1114" s="28">
        <f t="shared" ca="1" si="160"/>
        <v>30</v>
      </c>
      <c r="J1114" s="38" t="str">
        <f t="shared" si="154"/>
        <v>Andreia Mendonça</v>
      </c>
      <c r="K1114" s="39">
        <f t="shared" si="155"/>
        <v>62</v>
      </c>
      <c r="L1114" s="39">
        <f t="shared" si="156"/>
        <v>153143</v>
      </c>
      <c r="M1114" s="40">
        <f t="shared" si="161"/>
        <v>33246</v>
      </c>
      <c r="N1114" s="41" t="str">
        <f t="shared" ca="1" si="162"/>
        <v>Sénior</v>
      </c>
      <c r="O1114" s="41" t="str">
        <f t="shared" si="157"/>
        <v>F</v>
      </c>
      <c r="P1114" s="60" t="str">
        <f t="shared" si="158"/>
        <v>APCTT</v>
      </c>
      <c r="Q1114" s="61"/>
    </row>
    <row r="1115" spans="1:17" ht="13">
      <c r="A1115" s="28">
        <v>1397</v>
      </c>
      <c r="B1115" s="28">
        <v>159043</v>
      </c>
      <c r="C1115" s="129" t="s">
        <v>1136</v>
      </c>
      <c r="D1115" s="128" t="s">
        <v>509</v>
      </c>
      <c r="E1115" s="128" t="s">
        <v>145</v>
      </c>
      <c r="F1115" s="29">
        <v>33603</v>
      </c>
      <c r="G1115" s="56" t="str">
        <f t="shared" ca="1" si="159"/>
        <v>Sénior</v>
      </c>
      <c r="H1115" s="28">
        <f t="shared" ca="1" si="160"/>
        <v>29</v>
      </c>
      <c r="J1115" s="38" t="str">
        <f t="shared" si="154"/>
        <v>Noé Luís</v>
      </c>
      <c r="K1115" s="39">
        <f t="shared" si="155"/>
        <v>1397</v>
      </c>
      <c r="L1115" s="39">
        <f t="shared" si="156"/>
        <v>159043</v>
      </c>
      <c r="M1115" s="40">
        <f t="shared" si="161"/>
        <v>33603</v>
      </c>
      <c r="N1115" s="41" t="str">
        <f t="shared" ca="1" si="162"/>
        <v>Sénior</v>
      </c>
      <c r="O1115" s="41" t="str">
        <f t="shared" si="157"/>
        <v>M</v>
      </c>
      <c r="P1115" s="60" t="str">
        <f t="shared" si="158"/>
        <v>APCTT</v>
      </c>
      <c r="Q1115" s="61"/>
    </row>
    <row r="1116" spans="1:17" ht="13">
      <c r="A1116" s="28">
        <v>1563</v>
      </c>
      <c r="B1116" s="28">
        <v>152588</v>
      </c>
      <c r="C1116" s="129" t="s">
        <v>815</v>
      </c>
      <c r="D1116" s="128" t="s">
        <v>509</v>
      </c>
      <c r="E1116" s="128" t="s">
        <v>146</v>
      </c>
      <c r="F1116" s="29">
        <v>38109</v>
      </c>
      <c r="G1116" s="56" t="str">
        <f t="shared" ca="1" si="159"/>
        <v>Juvenil</v>
      </c>
      <c r="H1116" s="28">
        <f t="shared" ca="1" si="160"/>
        <v>16</v>
      </c>
      <c r="J1116" s="38" t="str">
        <f t="shared" si="154"/>
        <v>Angélica Gama</v>
      </c>
      <c r="K1116" s="39">
        <f t="shared" si="155"/>
        <v>1563</v>
      </c>
      <c r="L1116" s="39">
        <f t="shared" si="156"/>
        <v>152588</v>
      </c>
      <c r="M1116" s="40">
        <f t="shared" si="161"/>
        <v>38109</v>
      </c>
      <c r="N1116" s="41" t="str">
        <f t="shared" ca="1" si="162"/>
        <v>Juvenil</v>
      </c>
      <c r="O1116" s="41" t="str">
        <f t="shared" si="157"/>
        <v>F</v>
      </c>
      <c r="P1116" s="60" t="str">
        <f t="shared" si="158"/>
        <v>APCTT</v>
      </c>
      <c r="Q1116" s="61"/>
    </row>
    <row r="1117" spans="1:17" ht="13">
      <c r="A1117" s="28">
        <v>71</v>
      </c>
      <c r="B1117" s="28">
        <v>154126</v>
      </c>
      <c r="C1117" s="129" t="s">
        <v>1406</v>
      </c>
      <c r="D1117" s="128" t="s">
        <v>509</v>
      </c>
      <c r="E1117" s="128" t="s">
        <v>146</v>
      </c>
      <c r="F1117" s="29">
        <v>28758</v>
      </c>
      <c r="G1117" s="56" t="str">
        <f t="shared" ca="1" si="159"/>
        <v>V 40</v>
      </c>
      <c r="H1117" s="28">
        <f t="shared" ca="1" si="160"/>
        <v>42</v>
      </c>
      <c r="J1117" s="38" t="str">
        <f t="shared" si="154"/>
        <v>Sílvia Neves</v>
      </c>
      <c r="K1117" s="39">
        <f t="shared" si="155"/>
        <v>71</v>
      </c>
      <c r="L1117" s="39">
        <f t="shared" si="156"/>
        <v>154126</v>
      </c>
      <c r="M1117" s="40">
        <f t="shared" si="161"/>
        <v>28758</v>
      </c>
      <c r="N1117" s="41" t="str">
        <f t="shared" ca="1" si="162"/>
        <v>V 40</v>
      </c>
      <c r="O1117" s="41" t="str">
        <f t="shared" si="157"/>
        <v>F</v>
      </c>
      <c r="P1117" s="60" t="str">
        <f t="shared" si="158"/>
        <v>APCTT</v>
      </c>
      <c r="Q1117" s="61"/>
    </row>
    <row r="1118" spans="1:17" ht="13">
      <c r="A1118" s="28">
        <v>1381</v>
      </c>
      <c r="B1118" s="28">
        <v>163429</v>
      </c>
      <c r="C1118" s="129" t="s">
        <v>1465</v>
      </c>
      <c r="D1118" s="128" t="s">
        <v>509</v>
      </c>
      <c r="E1118" s="128" t="s">
        <v>145</v>
      </c>
      <c r="F1118" s="29">
        <v>28277</v>
      </c>
      <c r="G1118" s="56" t="str">
        <f t="shared" ca="1" si="159"/>
        <v>V 40</v>
      </c>
      <c r="H1118" s="28">
        <f t="shared" ca="1" si="160"/>
        <v>43</v>
      </c>
      <c r="J1118" s="38" t="str">
        <f t="shared" si="154"/>
        <v>Nuno Castro</v>
      </c>
      <c r="K1118" s="39">
        <f t="shared" si="155"/>
        <v>1381</v>
      </c>
      <c r="L1118" s="39">
        <f t="shared" si="156"/>
        <v>163429</v>
      </c>
      <c r="M1118" s="40">
        <f t="shared" si="161"/>
        <v>28277</v>
      </c>
      <c r="N1118" s="41" t="str">
        <f t="shared" ca="1" si="162"/>
        <v>V 40</v>
      </c>
      <c r="O1118" s="41" t="str">
        <f t="shared" si="157"/>
        <v>M</v>
      </c>
      <c r="P1118" s="60" t="str">
        <f t="shared" si="158"/>
        <v>APCTT</v>
      </c>
      <c r="Q1118" s="61"/>
    </row>
    <row r="1119" spans="1:17" ht="13">
      <c r="A1119" s="28">
        <v>1377</v>
      </c>
      <c r="B1119" s="28">
        <v>161672</v>
      </c>
      <c r="C1119" s="129" t="s">
        <v>1466</v>
      </c>
      <c r="D1119" s="128" t="s">
        <v>509</v>
      </c>
      <c r="E1119" s="128" t="s">
        <v>145</v>
      </c>
      <c r="F1119" s="29">
        <v>26896</v>
      </c>
      <c r="G1119" s="56" t="str">
        <f t="shared" ca="1" si="159"/>
        <v>V 45</v>
      </c>
      <c r="H1119" s="28">
        <f t="shared" ca="1" si="160"/>
        <v>47</v>
      </c>
      <c r="J1119" s="38" t="str">
        <f t="shared" si="154"/>
        <v>Paulo Camacho</v>
      </c>
      <c r="K1119" s="39">
        <f t="shared" si="155"/>
        <v>1377</v>
      </c>
      <c r="L1119" s="39">
        <f t="shared" si="156"/>
        <v>161672</v>
      </c>
      <c r="M1119" s="40">
        <f t="shared" si="161"/>
        <v>26896</v>
      </c>
      <c r="N1119" s="41" t="str">
        <f t="shared" ca="1" si="162"/>
        <v>V 45</v>
      </c>
      <c r="O1119" s="41" t="str">
        <f t="shared" si="157"/>
        <v>M</v>
      </c>
      <c r="P1119" s="60" t="str">
        <f t="shared" si="158"/>
        <v>APCTT</v>
      </c>
      <c r="Q1119" s="61"/>
    </row>
    <row r="1120" spans="1:17" ht="13">
      <c r="A1120" s="28">
        <v>1892</v>
      </c>
      <c r="B1120" s="28">
        <v>142456</v>
      </c>
      <c r="C1120" s="129" t="s">
        <v>550</v>
      </c>
      <c r="D1120" s="128" t="s">
        <v>545</v>
      </c>
      <c r="E1120" s="128" t="s">
        <v>145</v>
      </c>
      <c r="F1120" s="29">
        <v>38959</v>
      </c>
      <c r="G1120" s="56" t="str">
        <f t="shared" ca="1" si="159"/>
        <v>Iniciado</v>
      </c>
      <c r="H1120" s="28">
        <f t="shared" ca="1" si="160"/>
        <v>14</v>
      </c>
      <c r="J1120" s="38" t="str">
        <f t="shared" si="154"/>
        <v>Pedro Tiago Pestana</v>
      </c>
      <c r="K1120" s="39">
        <f t="shared" si="155"/>
        <v>1892</v>
      </c>
      <c r="L1120" s="39">
        <f t="shared" si="156"/>
        <v>142456</v>
      </c>
      <c r="M1120" s="40">
        <f t="shared" si="161"/>
        <v>38959</v>
      </c>
      <c r="N1120" s="41" t="str">
        <f t="shared" ca="1" si="162"/>
        <v>Iniciado</v>
      </c>
      <c r="O1120" s="41" t="str">
        <f t="shared" si="157"/>
        <v>M</v>
      </c>
      <c r="P1120" s="60" t="str">
        <f t="shared" si="158"/>
        <v>CEE-M</v>
      </c>
      <c r="Q1120" s="61"/>
    </row>
    <row r="1121" spans="1:17" ht="13">
      <c r="A1121" s="28">
        <v>1891</v>
      </c>
      <c r="B1121" s="28">
        <v>150116</v>
      </c>
      <c r="C1121" s="129" t="s">
        <v>924</v>
      </c>
      <c r="D1121" s="128" t="s">
        <v>545</v>
      </c>
      <c r="E1121" s="128" t="s">
        <v>145</v>
      </c>
      <c r="F1121" s="29">
        <v>39276</v>
      </c>
      <c r="G1121" s="56" t="str">
        <f t="shared" ca="1" si="159"/>
        <v>Iniciado</v>
      </c>
      <c r="H1121" s="28">
        <f t="shared" ca="1" si="160"/>
        <v>13</v>
      </c>
      <c r="J1121" s="38" t="str">
        <f t="shared" si="154"/>
        <v>Lucas R. Santos</v>
      </c>
      <c r="K1121" s="39">
        <f t="shared" si="155"/>
        <v>1891</v>
      </c>
      <c r="L1121" s="39">
        <f t="shared" si="156"/>
        <v>150116</v>
      </c>
      <c r="M1121" s="40">
        <f t="shared" si="161"/>
        <v>39276</v>
      </c>
      <c r="N1121" s="41" t="str">
        <f t="shared" ca="1" si="162"/>
        <v>Iniciado</v>
      </c>
      <c r="O1121" s="41" t="str">
        <f t="shared" si="157"/>
        <v>M</v>
      </c>
      <c r="P1121" s="60" t="str">
        <f t="shared" si="158"/>
        <v>CEE-M</v>
      </c>
      <c r="Q1121" s="61"/>
    </row>
    <row r="1122" spans="1:17" ht="13">
      <c r="A1122" s="28">
        <v>1184</v>
      </c>
      <c r="B1122" s="28">
        <v>155377</v>
      </c>
      <c r="C1122" s="129" t="s">
        <v>1552</v>
      </c>
      <c r="D1122" s="128" t="s">
        <v>545</v>
      </c>
      <c r="E1122" s="128" t="s">
        <v>145</v>
      </c>
      <c r="F1122" s="29">
        <v>35918</v>
      </c>
      <c r="G1122" s="56" t="str">
        <f t="shared" ca="1" si="159"/>
        <v>Sénior</v>
      </c>
      <c r="H1122" s="28">
        <f t="shared" ca="1" si="160"/>
        <v>22</v>
      </c>
      <c r="J1122" s="38" t="str">
        <f t="shared" si="154"/>
        <v>Daniel  Ferreira</v>
      </c>
      <c r="K1122" s="39">
        <f t="shared" si="155"/>
        <v>1184</v>
      </c>
      <c r="L1122" s="39">
        <f t="shared" si="156"/>
        <v>155377</v>
      </c>
      <c r="M1122" s="40">
        <f t="shared" si="161"/>
        <v>35918</v>
      </c>
      <c r="N1122" s="41" t="str">
        <f t="shared" ca="1" si="162"/>
        <v>Sénior</v>
      </c>
      <c r="O1122" s="41" t="str">
        <f t="shared" si="157"/>
        <v>M</v>
      </c>
      <c r="P1122" s="60" t="str">
        <f t="shared" si="158"/>
        <v>CEE-M</v>
      </c>
      <c r="Q1122" s="61"/>
    </row>
    <row r="1123" spans="1:17" ht="13">
      <c r="A1123" s="28">
        <v>1183</v>
      </c>
      <c r="B1123" s="28">
        <v>164281</v>
      </c>
      <c r="C1123" s="129" t="s">
        <v>1553</v>
      </c>
      <c r="D1123" s="128" t="s">
        <v>545</v>
      </c>
      <c r="E1123" s="128" t="s">
        <v>145</v>
      </c>
      <c r="F1123" s="29">
        <v>35107</v>
      </c>
      <c r="G1123" s="56" t="str">
        <f t="shared" ca="1" si="159"/>
        <v>Sénior</v>
      </c>
      <c r="H1123" s="28">
        <f t="shared" ca="1" si="160"/>
        <v>25</v>
      </c>
      <c r="J1123" s="38" t="str">
        <f t="shared" si="154"/>
        <v>Armando Araújo</v>
      </c>
      <c r="K1123" s="39">
        <f t="shared" si="155"/>
        <v>1183</v>
      </c>
      <c r="L1123" s="39">
        <f t="shared" si="156"/>
        <v>164281</v>
      </c>
      <c r="M1123" s="40">
        <f t="shared" si="161"/>
        <v>35107</v>
      </c>
      <c r="N1123" s="41" t="str">
        <f t="shared" ca="1" si="162"/>
        <v>Sénior</v>
      </c>
      <c r="O1123" s="41" t="str">
        <f t="shared" si="157"/>
        <v>M</v>
      </c>
      <c r="P1123" s="60" t="str">
        <f t="shared" si="158"/>
        <v>CEE-M</v>
      </c>
      <c r="Q1123" s="61"/>
    </row>
    <row r="1124" spans="1:17" ht="13">
      <c r="A1124" s="28">
        <v>1730</v>
      </c>
      <c r="B1124" s="28">
        <v>151138</v>
      </c>
      <c r="C1124" s="129" t="s">
        <v>911</v>
      </c>
      <c r="D1124" s="128" t="s">
        <v>123</v>
      </c>
      <c r="E1124" s="128" t="s">
        <v>145</v>
      </c>
      <c r="F1124" s="29">
        <v>38604</v>
      </c>
      <c r="G1124" s="56" t="str">
        <f t="shared" ca="1" si="159"/>
        <v>Juvenil</v>
      </c>
      <c r="H1124" s="28">
        <f t="shared" ca="1" si="160"/>
        <v>15</v>
      </c>
      <c r="J1124" s="38" t="str">
        <f t="shared" si="154"/>
        <v>Pedro Chaves</v>
      </c>
      <c r="K1124" s="39">
        <f t="shared" si="155"/>
        <v>1730</v>
      </c>
      <c r="L1124" s="39">
        <f t="shared" si="156"/>
        <v>151138</v>
      </c>
      <c r="M1124" s="40">
        <f t="shared" si="161"/>
        <v>38604</v>
      </c>
      <c r="N1124" s="41" t="str">
        <f t="shared" ca="1" si="162"/>
        <v>Juvenil</v>
      </c>
      <c r="O1124" s="41" t="str">
        <f t="shared" si="157"/>
        <v>M</v>
      </c>
      <c r="P1124" s="60" t="str">
        <f t="shared" si="158"/>
        <v>AJS</v>
      </c>
      <c r="Q1124" s="61"/>
    </row>
    <row r="1125" spans="1:17" ht="13">
      <c r="A1125" s="28">
        <v>888</v>
      </c>
      <c r="B1125" s="28">
        <v>129771</v>
      </c>
      <c r="C1125" s="129" t="s">
        <v>656</v>
      </c>
      <c r="D1125" s="128" t="s">
        <v>671</v>
      </c>
      <c r="E1125" s="128" t="s">
        <v>145</v>
      </c>
      <c r="F1125" s="29">
        <v>24348</v>
      </c>
      <c r="G1125" s="56" t="str">
        <f t="shared" ca="1" si="159"/>
        <v>V 50</v>
      </c>
      <c r="H1125" s="28">
        <f t="shared" ca="1" si="160"/>
        <v>54</v>
      </c>
      <c r="J1125" s="38" t="str">
        <f t="shared" si="154"/>
        <v>José Custódio</v>
      </c>
      <c r="K1125" s="39">
        <f t="shared" si="155"/>
        <v>888</v>
      </c>
      <c r="L1125" s="39">
        <f t="shared" si="156"/>
        <v>129771</v>
      </c>
      <c r="M1125" s="40">
        <f t="shared" si="161"/>
        <v>24348</v>
      </c>
      <c r="N1125" s="41" t="str">
        <f t="shared" ca="1" si="162"/>
        <v>V 50</v>
      </c>
      <c r="O1125" s="41" t="str">
        <f t="shared" si="157"/>
        <v>M</v>
      </c>
      <c r="P1125" s="60" t="str">
        <f t="shared" si="158"/>
        <v>VIP-RC</v>
      </c>
      <c r="Q1125" s="61"/>
    </row>
    <row r="1126" spans="1:17" ht="13">
      <c r="A1126" s="28">
        <v>260</v>
      </c>
      <c r="B1126" s="28">
        <v>123329</v>
      </c>
      <c r="C1126" s="129" t="s">
        <v>252</v>
      </c>
      <c r="D1126" s="128" t="s">
        <v>671</v>
      </c>
      <c r="E1126" s="128" t="s">
        <v>146</v>
      </c>
      <c r="F1126" s="29">
        <v>32720</v>
      </c>
      <c r="G1126" s="56" t="str">
        <f t="shared" ca="1" si="159"/>
        <v>Sénior</v>
      </c>
      <c r="H1126" s="28">
        <f t="shared" ca="1" si="160"/>
        <v>31</v>
      </c>
      <c r="J1126" s="38" t="str">
        <f t="shared" si="154"/>
        <v>Débora Mª Silva</v>
      </c>
      <c r="K1126" s="39">
        <f t="shared" si="155"/>
        <v>260</v>
      </c>
      <c r="L1126" s="39">
        <f t="shared" si="156"/>
        <v>123329</v>
      </c>
      <c r="M1126" s="40">
        <f t="shared" si="161"/>
        <v>32720</v>
      </c>
      <c r="N1126" s="41" t="str">
        <f t="shared" ca="1" si="162"/>
        <v>Sénior</v>
      </c>
      <c r="O1126" s="41" t="str">
        <f t="shared" si="157"/>
        <v>F</v>
      </c>
      <c r="P1126" s="60" t="str">
        <f t="shared" si="158"/>
        <v>VIP-RC</v>
      </c>
      <c r="Q1126" s="61"/>
    </row>
    <row r="1127" spans="1:17" ht="13">
      <c r="A1127" s="28">
        <v>909</v>
      </c>
      <c r="B1127" s="28">
        <v>125143</v>
      </c>
      <c r="C1127" s="129" t="s">
        <v>258</v>
      </c>
      <c r="D1127" s="128" t="s">
        <v>671</v>
      </c>
      <c r="E1127" s="128" t="s">
        <v>145</v>
      </c>
      <c r="F1127" s="29">
        <v>35665</v>
      </c>
      <c r="G1127" s="56" t="str">
        <f t="shared" ca="1" si="159"/>
        <v>Sénior</v>
      </c>
      <c r="H1127" s="28">
        <f t="shared" ca="1" si="160"/>
        <v>23</v>
      </c>
      <c r="J1127" s="38" t="str">
        <f t="shared" si="154"/>
        <v>Paulo C. Gonçalves</v>
      </c>
      <c r="K1127" s="39">
        <f t="shared" si="155"/>
        <v>909</v>
      </c>
      <c r="L1127" s="39">
        <f t="shared" si="156"/>
        <v>125143</v>
      </c>
      <c r="M1127" s="40">
        <f t="shared" si="161"/>
        <v>35665</v>
      </c>
      <c r="N1127" s="41" t="str">
        <f t="shared" ca="1" si="162"/>
        <v>Sénior</v>
      </c>
      <c r="O1127" s="41" t="str">
        <f t="shared" si="157"/>
        <v>M</v>
      </c>
      <c r="P1127" s="60" t="str">
        <f t="shared" si="158"/>
        <v>VIP-RC</v>
      </c>
      <c r="Q1127" s="61"/>
    </row>
    <row r="1128" spans="1:17" ht="13">
      <c r="A1128" s="28">
        <v>902</v>
      </c>
      <c r="B1128" s="28">
        <v>125596</v>
      </c>
      <c r="C1128" s="129" t="s">
        <v>195</v>
      </c>
      <c r="D1128" s="128" t="s">
        <v>671</v>
      </c>
      <c r="E1128" s="128" t="s">
        <v>145</v>
      </c>
      <c r="F1128" s="29">
        <v>30767</v>
      </c>
      <c r="G1128" s="56" t="str">
        <f t="shared" ca="1" si="159"/>
        <v>V 35</v>
      </c>
      <c r="H1128" s="28">
        <f t="shared" ca="1" si="160"/>
        <v>37</v>
      </c>
      <c r="J1128" s="38" t="str">
        <f t="shared" si="154"/>
        <v>Ivan Nunes</v>
      </c>
      <c r="K1128" s="39">
        <f t="shared" si="155"/>
        <v>902</v>
      </c>
      <c r="L1128" s="39">
        <f t="shared" si="156"/>
        <v>125596</v>
      </c>
      <c r="M1128" s="40">
        <f t="shared" si="161"/>
        <v>30767</v>
      </c>
      <c r="N1128" s="41" t="str">
        <f t="shared" ca="1" si="162"/>
        <v>V 35</v>
      </c>
      <c r="O1128" s="41" t="str">
        <f t="shared" si="157"/>
        <v>M</v>
      </c>
      <c r="P1128" s="60" t="str">
        <f t="shared" si="158"/>
        <v>VIP-RC</v>
      </c>
      <c r="Q1128" s="61"/>
    </row>
    <row r="1129" spans="1:17" ht="13">
      <c r="A1129" s="28">
        <v>887</v>
      </c>
      <c r="B1129" s="28">
        <v>127151</v>
      </c>
      <c r="C1129" s="129" t="s">
        <v>660</v>
      </c>
      <c r="D1129" s="128" t="s">
        <v>671</v>
      </c>
      <c r="E1129" s="128" t="s">
        <v>145</v>
      </c>
      <c r="F1129" s="29">
        <v>25039</v>
      </c>
      <c r="G1129" s="56" t="str">
        <f t="shared" ca="1" si="159"/>
        <v>V 50</v>
      </c>
      <c r="H1129" s="28">
        <f t="shared" ca="1" si="160"/>
        <v>52</v>
      </c>
      <c r="J1129" s="38" t="str">
        <f t="shared" si="154"/>
        <v>Paulo Margarido</v>
      </c>
      <c r="K1129" s="39">
        <f t="shared" si="155"/>
        <v>887</v>
      </c>
      <c r="L1129" s="39">
        <f t="shared" si="156"/>
        <v>127151</v>
      </c>
      <c r="M1129" s="40">
        <f t="shared" si="161"/>
        <v>25039</v>
      </c>
      <c r="N1129" s="41" t="str">
        <f t="shared" ca="1" si="162"/>
        <v>V 50</v>
      </c>
      <c r="O1129" s="41" t="str">
        <f t="shared" si="157"/>
        <v>M</v>
      </c>
      <c r="P1129" s="60" t="str">
        <f t="shared" si="158"/>
        <v>VIP-RC</v>
      </c>
      <c r="Q1129" s="61"/>
    </row>
    <row r="1130" spans="1:17" ht="13">
      <c r="A1130" s="28">
        <v>905</v>
      </c>
      <c r="B1130" s="28">
        <v>128625</v>
      </c>
      <c r="C1130" s="129" t="s">
        <v>799</v>
      </c>
      <c r="D1130" s="128" t="s">
        <v>671</v>
      </c>
      <c r="E1130" s="128" t="s">
        <v>145</v>
      </c>
      <c r="F1130" s="29">
        <v>36267</v>
      </c>
      <c r="G1130" s="56" t="str">
        <f t="shared" ca="1" si="159"/>
        <v>sub 23</v>
      </c>
      <c r="H1130" s="28">
        <f t="shared" ca="1" si="160"/>
        <v>22</v>
      </c>
      <c r="J1130" s="38" t="str">
        <f t="shared" si="154"/>
        <v>Rodrigo F. Camacho</v>
      </c>
      <c r="K1130" s="39">
        <f t="shared" si="155"/>
        <v>905</v>
      </c>
      <c r="L1130" s="39">
        <f t="shared" si="156"/>
        <v>128625</v>
      </c>
      <c r="M1130" s="40">
        <f t="shared" si="161"/>
        <v>36267</v>
      </c>
      <c r="N1130" s="41" t="str">
        <f t="shared" ca="1" si="162"/>
        <v>sub 23</v>
      </c>
      <c r="O1130" s="41" t="str">
        <f t="shared" si="157"/>
        <v>M</v>
      </c>
      <c r="P1130" s="60" t="str">
        <f t="shared" si="158"/>
        <v>VIP-RC</v>
      </c>
      <c r="Q1130" s="61"/>
    </row>
    <row r="1131" spans="1:17" ht="13">
      <c r="A1131" s="28">
        <v>897</v>
      </c>
      <c r="B1131" s="28">
        <v>128797</v>
      </c>
      <c r="C1131" s="129" t="s">
        <v>892</v>
      </c>
      <c r="D1131" s="128" t="s">
        <v>671</v>
      </c>
      <c r="E1131" s="128" t="s">
        <v>145</v>
      </c>
      <c r="F1131" s="29">
        <v>26906</v>
      </c>
      <c r="G1131" s="56" t="str">
        <f t="shared" ca="1" si="159"/>
        <v>V 45</v>
      </c>
      <c r="H1131" s="28">
        <f t="shared" ca="1" si="160"/>
        <v>47</v>
      </c>
      <c r="J1131" s="38" t="str">
        <f t="shared" si="154"/>
        <v>Nuno Dias</v>
      </c>
      <c r="K1131" s="39">
        <f t="shared" si="155"/>
        <v>897</v>
      </c>
      <c r="L1131" s="39">
        <f t="shared" si="156"/>
        <v>128797</v>
      </c>
      <c r="M1131" s="40">
        <f t="shared" si="161"/>
        <v>26906</v>
      </c>
      <c r="N1131" s="41" t="str">
        <f t="shared" ca="1" si="162"/>
        <v>V 45</v>
      </c>
      <c r="O1131" s="41" t="str">
        <f t="shared" si="157"/>
        <v>M</v>
      </c>
      <c r="P1131" s="60" t="str">
        <f t="shared" si="158"/>
        <v>VIP-RC</v>
      </c>
      <c r="Q1131" s="61"/>
    </row>
    <row r="1132" spans="1:17" ht="13">
      <c r="A1132" s="28">
        <v>865</v>
      </c>
      <c r="B1132" s="28">
        <v>129175</v>
      </c>
      <c r="C1132" s="129" t="s">
        <v>648</v>
      </c>
      <c r="D1132" s="128" t="s">
        <v>671</v>
      </c>
      <c r="E1132" s="128" t="s">
        <v>145</v>
      </c>
      <c r="F1132" s="29">
        <v>19962</v>
      </c>
      <c r="G1132" s="56" t="str">
        <f t="shared" ca="1" si="159"/>
        <v>V 65</v>
      </c>
      <c r="H1132" s="28">
        <f t="shared" ca="1" si="160"/>
        <v>66</v>
      </c>
      <c r="J1132" s="38" t="str">
        <f t="shared" si="154"/>
        <v>Egídio Freitas</v>
      </c>
      <c r="K1132" s="39">
        <f t="shared" si="155"/>
        <v>865</v>
      </c>
      <c r="L1132" s="39">
        <f t="shared" si="156"/>
        <v>129175</v>
      </c>
      <c r="M1132" s="40">
        <f t="shared" si="161"/>
        <v>19962</v>
      </c>
      <c r="N1132" s="41" t="str">
        <f t="shared" ca="1" si="162"/>
        <v>V 65</v>
      </c>
      <c r="O1132" s="41" t="str">
        <f t="shared" si="157"/>
        <v>M</v>
      </c>
      <c r="P1132" s="60" t="str">
        <f t="shared" si="158"/>
        <v>VIP-RC</v>
      </c>
      <c r="Q1132" s="61"/>
    </row>
    <row r="1133" spans="1:17" ht="13">
      <c r="A1133" s="28">
        <v>880</v>
      </c>
      <c r="B1133" s="28">
        <v>129300</v>
      </c>
      <c r="C1133" s="129" t="s">
        <v>653</v>
      </c>
      <c r="D1133" s="128" t="s">
        <v>671</v>
      </c>
      <c r="E1133" s="128" t="s">
        <v>145</v>
      </c>
      <c r="F1133" s="29">
        <v>22313</v>
      </c>
      <c r="G1133" s="56" t="str">
        <f t="shared" ca="1" si="159"/>
        <v>V 60</v>
      </c>
      <c r="H1133" s="28">
        <f t="shared" ca="1" si="160"/>
        <v>60</v>
      </c>
      <c r="J1133" s="38" t="str">
        <f t="shared" si="154"/>
        <v>Gilberto Pinto</v>
      </c>
      <c r="K1133" s="39">
        <f t="shared" si="155"/>
        <v>880</v>
      </c>
      <c r="L1133" s="39">
        <f t="shared" si="156"/>
        <v>129300</v>
      </c>
      <c r="M1133" s="40">
        <f t="shared" si="161"/>
        <v>22313</v>
      </c>
      <c r="N1133" s="41" t="str">
        <f t="shared" ca="1" si="162"/>
        <v>V 60</v>
      </c>
      <c r="O1133" s="41" t="str">
        <f t="shared" si="157"/>
        <v>M</v>
      </c>
      <c r="P1133" s="60" t="str">
        <f t="shared" si="158"/>
        <v>VIP-RC</v>
      </c>
      <c r="Q1133" s="61"/>
    </row>
    <row r="1134" spans="1:17" ht="13">
      <c r="A1134" s="28">
        <v>886</v>
      </c>
      <c r="B1134" s="28">
        <v>129676</v>
      </c>
      <c r="C1134" s="129" t="s">
        <v>667</v>
      </c>
      <c r="D1134" s="128" t="s">
        <v>671</v>
      </c>
      <c r="E1134" s="128" t="s">
        <v>145</v>
      </c>
      <c r="F1134" s="29">
        <v>25377</v>
      </c>
      <c r="G1134" s="56" t="str">
        <f t="shared" ca="1" si="159"/>
        <v>V 50</v>
      </c>
      <c r="H1134" s="28">
        <f t="shared" ca="1" si="160"/>
        <v>51</v>
      </c>
      <c r="J1134" s="38" t="str">
        <f t="shared" si="154"/>
        <v>João Camacho</v>
      </c>
      <c r="K1134" s="39">
        <f t="shared" si="155"/>
        <v>886</v>
      </c>
      <c r="L1134" s="39">
        <f t="shared" si="156"/>
        <v>129676</v>
      </c>
      <c r="M1134" s="40">
        <f t="shared" si="161"/>
        <v>25377</v>
      </c>
      <c r="N1134" s="41" t="str">
        <f t="shared" ca="1" si="162"/>
        <v>V 50</v>
      </c>
      <c r="O1134" s="41" t="str">
        <f t="shared" si="157"/>
        <v>M</v>
      </c>
      <c r="P1134" s="60" t="str">
        <f t="shared" si="158"/>
        <v>VIP-RC</v>
      </c>
      <c r="Q1134" s="61"/>
    </row>
    <row r="1135" spans="1:17" ht="13">
      <c r="A1135" s="28">
        <v>879</v>
      </c>
      <c r="B1135" s="28">
        <v>129752</v>
      </c>
      <c r="C1135" s="129" t="s">
        <v>659</v>
      </c>
      <c r="D1135" s="128" t="s">
        <v>671</v>
      </c>
      <c r="E1135" s="128" t="s">
        <v>145</v>
      </c>
      <c r="F1135" s="29">
        <v>22622</v>
      </c>
      <c r="G1135" s="56" t="str">
        <f t="shared" ca="1" si="159"/>
        <v>V 55</v>
      </c>
      <c r="H1135" s="28">
        <f t="shared" ca="1" si="160"/>
        <v>59</v>
      </c>
      <c r="J1135" s="38" t="str">
        <f t="shared" si="154"/>
        <v>Orlando Cardoso</v>
      </c>
      <c r="K1135" s="39">
        <f t="shared" si="155"/>
        <v>879</v>
      </c>
      <c r="L1135" s="39">
        <f t="shared" si="156"/>
        <v>129752</v>
      </c>
      <c r="M1135" s="40">
        <f t="shared" si="161"/>
        <v>22622</v>
      </c>
      <c r="N1135" s="41" t="str">
        <f t="shared" ca="1" si="162"/>
        <v>V 55</v>
      </c>
      <c r="O1135" s="41" t="str">
        <f t="shared" si="157"/>
        <v>M</v>
      </c>
      <c r="P1135" s="60" t="str">
        <f t="shared" si="158"/>
        <v>VIP-RC</v>
      </c>
      <c r="Q1135" s="61"/>
    </row>
    <row r="1136" spans="1:17" ht="13">
      <c r="A1136" s="28">
        <v>878</v>
      </c>
      <c r="B1136" s="28">
        <v>129923</v>
      </c>
      <c r="C1136" s="129" t="s">
        <v>651</v>
      </c>
      <c r="D1136" s="128" t="s">
        <v>671</v>
      </c>
      <c r="E1136" s="128" t="s">
        <v>145</v>
      </c>
      <c r="F1136" s="29">
        <v>23591</v>
      </c>
      <c r="G1136" s="56" t="str">
        <f t="shared" ca="1" si="159"/>
        <v>V 55</v>
      </c>
      <c r="H1136" s="28">
        <f t="shared" ca="1" si="160"/>
        <v>56</v>
      </c>
      <c r="J1136" s="38" t="str">
        <f t="shared" si="154"/>
        <v>Gabriel de Freitas</v>
      </c>
      <c r="K1136" s="39">
        <f t="shared" si="155"/>
        <v>878</v>
      </c>
      <c r="L1136" s="39">
        <f t="shared" si="156"/>
        <v>129923</v>
      </c>
      <c r="M1136" s="40">
        <f t="shared" si="161"/>
        <v>23591</v>
      </c>
      <c r="N1136" s="41" t="str">
        <f t="shared" ca="1" si="162"/>
        <v>V 55</v>
      </c>
      <c r="O1136" s="41" t="str">
        <f t="shared" si="157"/>
        <v>M</v>
      </c>
      <c r="P1136" s="60" t="str">
        <f t="shared" si="158"/>
        <v>VIP-RC</v>
      </c>
      <c r="Q1136" s="61"/>
    </row>
    <row r="1137" spans="1:17" ht="13">
      <c r="A1137" s="28">
        <v>896</v>
      </c>
      <c r="B1137" s="28">
        <v>129780</v>
      </c>
      <c r="C1137" s="129" t="s">
        <v>663</v>
      </c>
      <c r="D1137" s="128" t="s">
        <v>671</v>
      </c>
      <c r="E1137" s="128" t="s">
        <v>145</v>
      </c>
      <c r="F1137" s="29">
        <v>27446</v>
      </c>
      <c r="G1137" s="56" t="str">
        <f t="shared" ca="1" si="159"/>
        <v>V 45</v>
      </c>
      <c r="H1137" s="28">
        <f t="shared" ca="1" si="160"/>
        <v>46</v>
      </c>
      <c r="J1137" s="38" t="str">
        <f t="shared" si="154"/>
        <v>Roberto Bento</v>
      </c>
      <c r="K1137" s="39">
        <f t="shared" si="155"/>
        <v>896</v>
      </c>
      <c r="L1137" s="39">
        <f t="shared" si="156"/>
        <v>129780</v>
      </c>
      <c r="M1137" s="40">
        <f t="shared" si="161"/>
        <v>27446</v>
      </c>
      <c r="N1137" s="41" t="str">
        <f t="shared" ca="1" si="162"/>
        <v>V 45</v>
      </c>
      <c r="O1137" s="41" t="str">
        <f t="shared" si="157"/>
        <v>M</v>
      </c>
      <c r="P1137" s="60" t="str">
        <f t="shared" si="158"/>
        <v>VIP-RC</v>
      </c>
      <c r="Q1137" s="61"/>
    </row>
    <row r="1138" spans="1:17" ht="13">
      <c r="A1138" s="28">
        <v>877</v>
      </c>
      <c r="B1138" s="28">
        <v>130032</v>
      </c>
      <c r="C1138" s="129" t="s">
        <v>652</v>
      </c>
      <c r="D1138" s="128" t="s">
        <v>671</v>
      </c>
      <c r="E1138" s="128" t="s">
        <v>145</v>
      </c>
      <c r="F1138" s="29">
        <v>22534</v>
      </c>
      <c r="G1138" s="56" t="str">
        <f t="shared" ca="1" si="159"/>
        <v>V 55</v>
      </c>
      <c r="H1138" s="28">
        <f t="shared" ca="1" si="160"/>
        <v>59</v>
      </c>
      <c r="J1138" s="38" t="str">
        <f t="shared" si="154"/>
        <v>Gilberto Freitas</v>
      </c>
      <c r="K1138" s="39">
        <f t="shared" si="155"/>
        <v>877</v>
      </c>
      <c r="L1138" s="39">
        <f t="shared" si="156"/>
        <v>130032</v>
      </c>
      <c r="M1138" s="40">
        <f t="shared" si="161"/>
        <v>22534</v>
      </c>
      <c r="N1138" s="41" t="str">
        <f t="shared" ca="1" si="162"/>
        <v>V 55</v>
      </c>
      <c r="O1138" s="41" t="str">
        <f t="shared" si="157"/>
        <v>M</v>
      </c>
      <c r="P1138" s="60" t="str">
        <f t="shared" si="158"/>
        <v>VIP-RC</v>
      </c>
      <c r="Q1138" s="61"/>
    </row>
    <row r="1139" spans="1:17" ht="13">
      <c r="A1139" s="28">
        <v>899</v>
      </c>
      <c r="B1139" s="28">
        <v>130108</v>
      </c>
      <c r="C1139" s="129" t="s">
        <v>1334</v>
      </c>
      <c r="D1139" s="128" t="s">
        <v>671</v>
      </c>
      <c r="E1139" s="128" t="s">
        <v>145</v>
      </c>
      <c r="F1139" s="29">
        <v>29512</v>
      </c>
      <c r="G1139" s="56" t="str">
        <f t="shared" ca="1" si="159"/>
        <v>V 40</v>
      </c>
      <c r="H1139" s="28">
        <f t="shared" ca="1" si="160"/>
        <v>40</v>
      </c>
      <c r="J1139" s="38" t="str">
        <f t="shared" si="154"/>
        <v>Marco Capelo</v>
      </c>
      <c r="K1139" s="39">
        <f t="shared" si="155"/>
        <v>899</v>
      </c>
      <c r="L1139" s="39">
        <f t="shared" si="156"/>
        <v>130108</v>
      </c>
      <c r="M1139" s="40">
        <f t="shared" si="161"/>
        <v>29512</v>
      </c>
      <c r="N1139" s="41" t="str">
        <f t="shared" ca="1" si="162"/>
        <v>V 40</v>
      </c>
      <c r="O1139" s="41" t="str">
        <f t="shared" si="157"/>
        <v>M</v>
      </c>
      <c r="P1139" s="60" t="str">
        <f t="shared" si="158"/>
        <v>VIP-RC</v>
      </c>
      <c r="Q1139" s="61"/>
    </row>
    <row r="1140" spans="1:17" ht="13">
      <c r="A1140" s="28">
        <v>885</v>
      </c>
      <c r="B1140" s="28">
        <v>130130</v>
      </c>
      <c r="C1140" s="129" t="s">
        <v>645</v>
      </c>
      <c r="D1140" s="128" t="s">
        <v>671</v>
      </c>
      <c r="E1140" s="128" t="s">
        <v>145</v>
      </c>
      <c r="F1140" s="29">
        <v>24969</v>
      </c>
      <c r="G1140" s="56" t="str">
        <f t="shared" ca="1" si="159"/>
        <v>V 50</v>
      </c>
      <c r="H1140" s="28">
        <f t="shared" ca="1" si="160"/>
        <v>52</v>
      </c>
      <c r="J1140" s="38" t="str">
        <f t="shared" si="154"/>
        <v>Adelino Camacho</v>
      </c>
      <c r="K1140" s="39">
        <f t="shared" si="155"/>
        <v>885</v>
      </c>
      <c r="L1140" s="39">
        <f t="shared" si="156"/>
        <v>130130</v>
      </c>
      <c r="M1140" s="40">
        <f t="shared" si="161"/>
        <v>24969</v>
      </c>
      <c r="N1140" s="41" t="str">
        <f t="shared" ca="1" si="162"/>
        <v>V 50</v>
      </c>
      <c r="O1140" s="41" t="str">
        <f t="shared" si="157"/>
        <v>M</v>
      </c>
      <c r="P1140" s="60" t="str">
        <f t="shared" si="158"/>
        <v>VIP-RC</v>
      </c>
      <c r="Q1140" s="61"/>
    </row>
    <row r="1141" spans="1:17" ht="13">
      <c r="A1141" s="28">
        <v>273</v>
      </c>
      <c r="B1141" s="28">
        <v>130717</v>
      </c>
      <c r="C1141" s="129" t="s">
        <v>218</v>
      </c>
      <c r="D1141" s="128" t="s">
        <v>671</v>
      </c>
      <c r="E1141" s="128" t="s">
        <v>146</v>
      </c>
      <c r="F1141" s="29">
        <v>23782</v>
      </c>
      <c r="G1141" s="56" t="str">
        <f t="shared" ca="1" si="159"/>
        <v>V 55</v>
      </c>
      <c r="H1141" s="28">
        <f t="shared" ca="1" si="160"/>
        <v>56</v>
      </c>
      <c r="J1141" s="38" t="str">
        <f t="shared" si="154"/>
        <v>Felicidade Soares</v>
      </c>
      <c r="K1141" s="39">
        <f t="shared" si="155"/>
        <v>273</v>
      </c>
      <c r="L1141" s="39">
        <f t="shared" si="156"/>
        <v>130717</v>
      </c>
      <c r="M1141" s="40">
        <f t="shared" si="161"/>
        <v>23782</v>
      </c>
      <c r="N1141" s="41" t="str">
        <f t="shared" ca="1" si="162"/>
        <v>V 55</v>
      </c>
      <c r="O1141" s="41" t="str">
        <f t="shared" si="157"/>
        <v>F</v>
      </c>
      <c r="P1141" s="60" t="str">
        <f t="shared" si="158"/>
        <v>VIP-RC</v>
      </c>
      <c r="Q1141" s="61"/>
    </row>
    <row r="1142" spans="1:17" ht="13">
      <c r="A1142" s="28">
        <v>274</v>
      </c>
      <c r="B1142" s="28">
        <v>130887</v>
      </c>
      <c r="C1142" s="129" t="s">
        <v>219</v>
      </c>
      <c r="D1142" s="128" t="s">
        <v>671</v>
      </c>
      <c r="E1142" s="128" t="s">
        <v>146</v>
      </c>
      <c r="F1142" s="29">
        <v>21923</v>
      </c>
      <c r="G1142" s="56" t="str">
        <f t="shared" ca="1" si="159"/>
        <v>V 60</v>
      </c>
      <c r="H1142" s="28">
        <f t="shared" ca="1" si="160"/>
        <v>61</v>
      </c>
      <c r="J1142" s="38" t="str">
        <f t="shared" si="154"/>
        <v>Maria José Jardim</v>
      </c>
      <c r="K1142" s="39">
        <f t="shared" si="155"/>
        <v>274</v>
      </c>
      <c r="L1142" s="39">
        <f t="shared" si="156"/>
        <v>130887</v>
      </c>
      <c r="M1142" s="40">
        <f t="shared" si="161"/>
        <v>21923</v>
      </c>
      <c r="N1142" s="41" t="str">
        <f t="shared" ca="1" si="162"/>
        <v>V 60</v>
      </c>
      <c r="O1142" s="41" t="str">
        <f t="shared" si="157"/>
        <v>F</v>
      </c>
      <c r="P1142" s="60" t="str">
        <f t="shared" si="158"/>
        <v>VIP-RC</v>
      </c>
      <c r="Q1142" s="61"/>
    </row>
    <row r="1143" spans="1:17" ht="13">
      <c r="A1143" s="28">
        <v>1580</v>
      </c>
      <c r="B1143" s="28">
        <v>139459</v>
      </c>
      <c r="C1143" s="129" t="s">
        <v>676</v>
      </c>
      <c r="D1143" s="128" t="s">
        <v>671</v>
      </c>
      <c r="E1143" s="128" t="s">
        <v>146</v>
      </c>
      <c r="F1143" s="29">
        <v>37405</v>
      </c>
      <c r="G1143" s="56" t="str">
        <f t="shared" ca="1" si="159"/>
        <v>Júnior</v>
      </c>
      <c r="H1143" s="28">
        <f t="shared" ca="1" si="160"/>
        <v>18</v>
      </c>
      <c r="J1143" s="38" t="str">
        <f t="shared" si="154"/>
        <v>Anita Vares</v>
      </c>
      <c r="K1143" s="39">
        <f t="shared" si="155"/>
        <v>1580</v>
      </c>
      <c r="L1143" s="39">
        <f t="shared" si="156"/>
        <v>139459</v>
      </c>
      <c r="M1143" s="40">
        <f t="shared" si="161"/>
        <v>37405</v>
      </c>
      <c r="N1143" s="41" t="str">
        <f t="shared" ca="1" si="162"/>
        <v>Júnior</v>
      </c>
      <c r="O1143" s="41" t="str">
        <f t="shared" si="157"/>
        <v>F</v>
      </c>
      <c r="P1143" s="60" t="str">
        <f t="shared" si="158"/>
        <v>VIP-RC</v>
      </c>
      <c r="Q1143" s="61"/>
    </row>
    <row r="1144" spans="1:17" ht="13">
      <c r="A1144" s="28">
        <v>264</v>
      </c>
      <c r="B1144" s="28">
        <v>140269</v>
      </c>
      <c r="C1144" s="129" t="s">
        <v>474</v>
      </c>
      <c r="D1144" s="128" t="s">
        <v>671</v>
      </c>
      <c r="E1144" s="128" t="s">
        <v>146</v>
      </c>
      <c r="F1144" s="29">
        <v>29922</v>
      </c>
      <c r="G1144" s="56" t="str">
        <f t="shared" ca="1" si="159"/>
        <v>V 35</v>
      </c>
      <c r="H1144" s="28">
        <f t="shared" ca="1" si="160"/>
        <v>39</v>
      </c>
      <c r="J1144" s="38" t="str">
        <f t="shared" si="154"/>
        <v>Luzia Camacho</v>
      </c>
      <c r="K1144" s="39">
        <f t="shared" si="155"/>
        <v>264</v>
      </c>
      <c r="L1144" s="39">
        <f t="shared" si="156"/>
        <v>140269</v>
      </c>
      <c r="M1144" s="40">
        <f t="shared" si="161"/>
        <v>29922</v>
      </c>
      <c r="N1144" s="41" t="str">
        <f t="shared" ca="1" si="162"/>
        <v>V 35</v>
      </c>
      <c r="O1144" s="41" t="str">
        <f t="shared" si="157"/>
        <v>F</v>
      </c>
      <c r="P1144" s="60" t="str">
        <f t="shared" si="158"/>
        <v>VIP-RC</v>
      </c>
      <c r="Q1144" s="61"/>
    </row>
    <row r="1145" spans="1:17" ht="13">
      <c r="A1145" s="28">
        <v>895</v>
      </c>
      <c r="B1145" s="28">
        <v>141359</v>
      </c>
      <c r="C1145" s="129" t="s">
        <v>666</v>
      </c>
      <c r="D1145" s="128" t="s">
        <v>671</v>
      </c>
      <c r="E1145" s="128" t="s">
        <v>145</v>
      </c>
      <c r="F1145" s="29">
        <v>27678</v>
      </c>
      <c r="G1145" s="56" t="str">
        <f t="shared" ca="1" si="159"/>
        <v>V 45</v>
      </c>
      <c r="H1145" s="28">
        <f t="shared" ca="1" si="160"/>
        <v>45</v>
      </c>
      <c r="J1145" s="38" t="str">
        <f t="shared" si="154"/>
        <v>Nuno Margarido</v>
      </c>
      <c r="K1145" s="39">
        <f t="shared" si="155"/>
        <v>895</v>
      </c>
      <c r="L1145" s="39">
        <f t="shared" si="156"/>
        <v>141359</v>
      </c>
      <c r="M1145" s="40">
        <f t="shared" si="161"/>
        <v>27678</v>
      </c>
      <c r="N1145" s="41" t="str">
        <f t="shared" ca="1" si="162"/>
        <v>V 45</v>
      </c>
      <c r="O1145" s="41" t="str">
        <f t="shared" si="157"/>
        <v>M</v>
      </c>
      <c r="P1145" s="60" t="str">
        <f t="shared" si="158"/>
        <v>VIP-RC</v>
      </c>
      <c r="Q1145" s="61"/>
    </row>
    <row r="1146" spans="1:17" ht="13">
      <c r="A1146" s="28">
        <v>894</v>
      </c>
      <c r="B1146" s="28">
        <v>146131</v>
      </c>
      <c r="C1146" s="129" t="s">
        <v>670</v>
      </c>
      <c r="D1146" s="128" t="s">
        <v>671</v>
      </c>
      <c r="E1146" s="128" t="s">
        <v>145</v>
      </c>
      <c r="F1146" s="29">
        <v>26564</v>
      </c>
      <c r="G1146" s="56" t="str">
        <f t="shared" ca="1" si="159"/>
        <v>V 45</v>
      </c>
      <c r="H1146" s="28">
        <f t="shared" ca="1" si="160"/>
        <v>48</v>
      </c>
      <c r="J1146" s="38" t="str">
        <f t="shared" si="154"/>
        <v>Duarte P. Pereira</v>
      </c>
      <c r="K1146" s="39">
        <f t="shared" si="155"/>
        <v>894</v>
      </c>
      <c r="L1146" s="39">
        <f t="shared" si="156"/>
        <v>146131</v>
      </c>
      <c r="M1146" s="40">
        <f t="shared" si="161"/>
        <v>26564</v>
      </c>
      <c r="N1146" s="41" t="str">
        <f t="shared" ca="1" si="162"/>
        <v>V 45</v>
      </c>
      <c r="O1146" s="41" t="str">
        <f t="shared" si="157"/>
        <v>M</v>
      </c>
      <c r="P1146" s="60" t="str">
        <f t="shared" si="158"/>
        <v>VIP-RC</v>
      </c>
      <c r="Q1146" s="61"/>
    </row>
    <row r="1147" spans="1:17" ht="13">
      <c r="A1147" s="28">
        <v>261</v>
      </c>
      <c r="B1147" s="28">
        <v>147892</v>
      </c>
      <c r="C1147" s="129" t="s">
        <v>735</v>
      </c>
      <c r="D1147" s="128" t="s">
        <v>671</v>
      </c>
      <c r="E1147" s="128" t="s">
        <v>146</v>
      </c>
      <c r="F1147" s="29">
        <v>32457</v>
      </c>
      <c r="G1147" s="56" t="str">
        <f t="shared" ca="1" si="159"/>
        <v>Sénior</v>
      </c>
      <c r="H1147" s="28">
        <f t="shared" ca="1" si="160"/>
        <v>32</v>
      </c>
      <c r="J1147" s="38" t="str">
        <f t="shared" si="154"/>
        <v>Tânia S. Freitas</v>
      </c>
      <c r="K1147" s="39">
        <f t="shared" si="155"/>
        <v>261</v>
      </c>
      <c r="L1147" s="39">
        <f t="shared" si="156"/>
        <v>147892</v>
      </c>
      <c r="M1147" s="40">
        <f t="shared" si="161"/>
        <v>32457</v>
      </c>
      <c r="N1147" s="41" t="str">
        <f t="shared" ca="1" si="162"/>
        <v>Sénior</v>
      </c>
      <c r="O1147" s="41" t="str">
        <f t="shared" si="157"/>
        <v>F</v>
      </c>
      <c r="P1147" s="60" t="str">
        <f t="shared" si="158"/>
        <v>VIP-RC</v>
      </c>
      <c r="Q1147" s="61"/>
    </row>
    <row r="1148" spans="1:17" ht="13">
      <c r="A1148" s="28">
        <v>893</v>
      </c>
      <c r="B1148" s="28">
        <v>148569</v>
      </c>
      <c r="C1148" s="129" t="s">
        <v>761</v>
      </c>
      <c r="D1148" s="128" t="s">
        <v>671</v>
      </c>
      <c r="E1148" s="128" t="s">
        <v>145</v>
      </c>
      <c r="F1148" s="29">
        <v>26953</v>
      </c>
      <c r="G1148" s="56" t="str">
        <f t="shared" ca="1" si="159"/>
        <v>V 45</v>
      </c>
      <c r="H1148" s="28">
        <f t="shared" ca="1" si="160"/>
        <v>47</v>
      </c>
      <c r="J1148" s="38" t="str">
        <f t="shared" si="154"/>
        <v>Vítor M. Martins</v>
      </c>
      <c r="K1148" s="39">
        <f t="shared" si="155"/>
        <v>893</v>
      </c>
      <c r="L1148" s="39">
        <f t="shared" si="156"/>
        <v>148569</v>
      </c>
      <c r="M1148" s="40">
        <f t="shared" si="161"/>
        <v>26953</v>
      </c>
      <c r="N1148" s="41" t="str">
        <f t="shared" ca="1" si="162"/>
        <v>V 45</v>
      </c>
      <c r="O1148" s="41" t="str">
        <f t="shared" si="157"/>
        <v>M</v>
      </c>
      <c r="P1148" s="60" t="str">
        <f t="shared" si="158"/>
        <v>VIP-RC</v>
      </c>
      <c r="Q1148" s="61"/>
    </row>
    <row r="1149" spans="1:17" ht="13">
      <c r="A1149" s="28">
        <v>908</v>
      </c>
      <c r="B1149" s="28">
        <v>149097</v>
      </c>
      <c r="C1149" s="129" t="s">
        <v>762</v>
      </c>
      <c r="D1149" s="128" t="s">
        <v>671</v>
      </c>
      <c r="E1149" s="128" t="s">
        <v>145</v>
      </c>
      <c r="F1149" s="29">
        <v>33003</v>
      </c>
      <c r="G1149" s="56" t="str">
        <f t="shared" ca="1" si="159"/>
        <v>Sénior</v>
      </c>
      <c r="H1149" s="28">
        <f t="shared" ca="1" si="160"/>
        <v>30</v>
      </c>
      <c r="J1149" s="38" t="str">
        <f t="shared" si="154"/>
        <v>Tiago F. Sousa</v>
      </c>
      <c r="K1149" s="39">
        <f t="shared" si="155"/>
        <v>908</v>
      </c>
      <c r="L1149" s="39">
        <f t="shared" si="156"/>
        <v>149097</v>
      </c>
      <c r="M1149" s="40">
        <f t="shared" si="161"/>
        <v>33003</v>
      </c>
      <c r="N1149" s="41" t="str">
        <f t="shared" ca="1" si="162"/>
        <v>Sénior</v>
      </c>
      <c r="O1149" s="41" t="str">
        <f t="shared" si="157"/>
        <v>M</v>
      </c>
      <c r="P1149" s="60" t="str">
        <f t="shared" si="158"/>
        <v>VIP-RC</v>
      </c>
      <c r="Q1149" s="61"/>
    </row>
    <row r="1150" spans="1:17" ht="13">
      <c r="A1150" s="28">
        <v>898</v>
      </c>
      <c r="B1150" s="28">
        <v>151271</v>
      </c>
      <c r="C1150" s="129" t="s">
        <v>890</v>
      </c>
      <c r="D1150" s="128" t="s">
        <v>671</v>
      </c>
      <c r="E1150" s="128" t="s">
        <v>145</v>
      </c>
      <c r="F1150" s="29">
        <v>28354</v>
      </c>
      <c r="G1150" s="56" t="str">
        <f t="shared" ca="1" si="159"/>
        <v>V 40</v>
      </c>
      <c r="H1150" s="28">
        <f t="shared" ca="1" si="160"/>
        <v>43</v>
      </c>
      <c r="J1150" s="38" t="str">
        <f t="shared" si="154"/>
        <v>Aires Afonseca</v>
      </c>
      <c r="K1150" s="39">
        <f t="shared" si="155"/>
        <v>898</v>
      </c>
      <c r="L1150" s="39">
        <f t="shared" si="156"/>
        <v>151271</v>
      </c>
      <c r="M1150" s="40">
        <f t="shared" si="161"/>
        <v>28354</v>
      </c>
      <c r="N1150" s="41" t="str">
        <f t="shared" ca="1" si="162"/>
        <v>V 40</v>
      </c>
      <c r="O1150" s="41" t="str">
        <f t="shared" si="157"/>
        <v>M</v>
      </c>
      <c r="P1150" s="60" t="str">
        <f t="shared" si="158"/>
        <v>VIP-RC</v>
      </c>
      <c r="Q1150" s="61"/>
    </row>
    <row r="1151" spans="1:17" ht="13">
      <c r="A1151" s="28">
        <v>907</v>
      </c>
      <c r="B1151" s="28">
        <v>152026</v>
      </c>
      <c r="C1151" s="129" t="s">
        <v>891</v>
      </c>
      <c r="D1151" s="128" t="s">
        <v>671</v>
      </c>
      <c r="E1151" s="128" t="s">
        <v>145</v>
      </c>
      <c r="F1151" s="29">
        <v>33659</v>
      </c>
      <c r="G1151" s="56" t="str">
        <f t="shared" ca="1" si="159"/>
        <v>Sénior</v>
      </c>
      <c r="H1151" s="28">
        <f t="shared" ca="1" si="160"/>
        <v>29</v>
      </c>
      <c r="J1151" s="38" t="str">
        <f t="shared" si="154"/>
        <v>Filipe Aveiro</v>
      </c>
      <c r="K1151" s="39">
        <f t="shared" si="155"/>
        <v>907</v>
      </c>
      <c r="L1151" s="39">
        <f t="shared" si="156"/>
        <v>152026</v>
      </c>
      <c r="M1151" s="40">
        <f t="shared" si="161"/>
        <v>33659</v>
      </c>
      <c r="N1151" s="41" t="str">
        <f t="shared" ca="1" si="162"/>
        <v>Sénior</v>
      </c>
      <c r="O1151" s="41" t="str">
        <f t="shared" si="157"/>
        <v>M</v>
      </c>
      <c r="P1151" s="60" t="str">
        <f t="shared" si="158"/>
        <v>VIP-RC</v>
      </c>
      <c r="Q1151" s="61"/>
    </row>
    <row r="1152" spans="1:17" ht="13">
      <c r="A1152" s="28">
        <v>265</v>
      </c>
      <c r="B1152" s="28">
        <v>152457</v>
      </c>
      <c r="C1152" s="129" t="s">
        <v>888</v>
      </c>
      <c r="D1152" s="128" t="s">
        <v>671</v>
      </c>
      <c r="E1152" s="128" t="s">
        <v>146</v>
      </c>
      <c r="F1152" s="29">
        <v>30302</v>
      </c>
      <c r="G1152" s="56" t="str">
        <f t="shared" ca="1" si="159"/>
        <v>V 35</v>
      </c>
      <c r="H1152" s="28">
        <f t="shared" ca="1" si="160"/>
        <v>38</v>
      </c>
      <c r="J1152" s="38" t="str">
        <f t="shared" si="154"/>
        <v>Micaela Oliveira</v>
      </c>
      <c r="K1152" s="39">
        <f t="shared" si="155"/>
        <v>265</v>
      </c>
      <c r="L1152" s="39">
        <f t="shared" si="156"/>
        <v>152457</v>
      </c>
      <c r="M1152" s="40">
        <f t="shared" si="161"/>
        <v>30302</v>
      </c>
      <c r="N1152" s="41" t="str">
        <f t="shared" ca="1" si="162"/>
        <v>V 35</v>
      </c>
      <c r="O1152" s="41" t="str">
        <f t="shared" si="157"/>
        <v>F</v>
      </c>
      <c r="P1152" s="60" t="str">
        <f t="shared" si="158"/>
        <v>VIP-RC</v>
      </c>
      <c r="Q1152" s="61"/>
    </row>
    <row r="1153" spans="1:17" ht="13">
      <c r="A1153" s="28">
        <v>270</v>
      </c>
      <c r="B1153" s="28">
        <v>153000</v>
      </c>
      <c r="C1153" s="129" t="s">
        <v>889</v>
      </c>
      <c r="D1153" s="128" t="s">
        <v>671</v>
      </c>
      <c r="E1153" s="128" t="s">
        <v>146</v>
      </c>
      <c r="F1153" s="29">
        <v>27280</v>
      </c>
      <c r="G1153" s="56" t="str">
        <f t="shared" ca="1" si="159"/>
        <v>V 45</v>
      </c>
      <c r="H1153" s="28">
        <f t="shared" ca="1" si="160"/>
        <v>46</v>
      </c>
      <c r="J1153" s="38" t="str">
        <f t="shared" si="154"/>
        <v>Ana Amorim</v>
      </c>
      <c r="K1153" s="39">
        <f t="shared" si="155"/>
        <v>270</v>
      </c>
      <c r="L1153" s="39">
        <f t="shared" si="156"/>
        <v>153000</v>
      </c>
      <c r="M1153" s="40">
        <f t="shared" si="161"/>
        <v>27280</v>
      </c>
      <c r="N1153" s="41" t="str">
        <f t="shared" ca="1" si="162"/>
        <v>V 45</v>
      </c>
      <c r="O1153" s="41" t="str">
        <f t="shared" si="157"/>
        <v>F</v>
      </c>
      <c r="P1153" s="60" t="str">
        <f t="shared" si="158"/>
        <v>VIP-RC</v>
      </c>
      <c r="Q1153" s="61"/>
    </row>
    <row r="1154" spans="1:17" ht="13">
      <c r="A1154" s="28">
        <v>262</v>
      </c>
      <c r="B1154" s="28">
        <v>157649</v>
      </c>
      <c r="C1154" s="129" t="s">
        <v>1119</v>
      </c>
      <c r="D1154" s="128" t="s">
        <v>671</v>
      </c>
      <c r="E1154" s="128" t="s">
        <v>146</v>
      </c>
      <c r="F1154" s="29">
        <v>34090</v>
      </c>
      <c r="G1154" s="56" t="str">
        <f t="shared" ca="1" si="159"/>
        <v>Sénior</v>
      </c>
      <c r="H1154" s="28">
        <f t="shared" ca="1" si="160"/>
        <v>27</v>
      </c>
      <c r="J1154" s="38" t="str">
        <f t="shared" ref="J1154:J1217" si="163">C1154</f>
        <v>Sara Afonseca</v>
      </c>
      <c r="K1154" s="39">
        <f t="shared" ref="K1154:K1217" si="164">A1154</f>
        <v>262</v>
      </c>
      <c r="L1154" s="39">
        <f t="shared" ref="L1154:L1217" si="165">B1154</f>
        <v>157649</v>
      </c>
      <c r="M1154" s="40">
        <f t="shared" si="161"/>
        <v>34090</v>
      </c>
      <c r="N1154" s="41" t="str">
        <f t="shared" ca="1" si="162"/>
        <v>Sénior</v>
      </c>
      <c r="O1154" s="41" t="str">
        <f t="shared" ref="O1154:O1217" si="166">E1154</f>
        <v>F</v>
      </c>
      <c r="P1154" s="60" t="str">
        <f t="shared" ref="P1154:P1217" si="167">D1154</f>
        <v>VIP-RC</v>
      </c>
      <c r="Q1154" s="61"/>
    </row>
    <row r="1155" spans="1:17" ht="13">
      <c r="A1155" s="28">
        <v>266</v>
      </c>
      <c r="B1155" s="28">
        <v>160038</v>
      </c>
      <c r="C1155" s="129" t="s">
        <v>1264</v>
      </c>
      <c r="D1155" s="128" t="s">
        <v>671</v>
      </c>
      <c r="E1155" s="128" t="s">
        <v>146</v>
      </c>
      <c r="F1155" s="29">
        <v>30152</v>
      </c>
      <c r="G1155" s="5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B",IF(YEAR(TODAY())-YEAR(F1155)&lt;14,"Infantil",IF(YEAR(TODAY())-YEAR(F1155)&lt;16,"Iniciado",IF(YEAR(TODAY())-YEAR(F1155)&lt;18,"Juvenil",IF(YEAR(TODAY())-YEAR(F1155)&lt;20,"Júnior",IF(YEAR(TODAY())-YEAR(F1155)&lt;23,"sub 23",IF(ROUNDDOWN(INT(TODAY()-F1155)/365.25,0)&lt;35,"Sénior",IF(ROUNDDOWN(INT(TODAY()-F1155)/365.25,0)&lt;40,"V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65",IF(ROUNDDOWN(INT(TODAY()-F1155)/365.25,0)&lt;75,"V 70",IF(ROUNDDOWN(INT(TODAY()-F1155)/365.25,0)&lt;80,"V 75",IF(ROUNDDOWN(INT(TODAY()-F1155)/365.25,0)&lt;85,"V 80",IF(ROUNDDOWN(INT(TODAY()-F1155)/365.25,0)&lt;90,"V 85",IF(ROUNDDOWN(INT(TODAY()-F1155)/365.25,0)&lt;95,"V 90",IF(ROUNDDOWN(INT(TODAY()-F1155)/365.25,0)&lt;100,"V 95",IF(ROUNDDOWN(INT(TODAY()-F1155)/365.25,0)&gt;=100,"V 100",""))))))))))))))))))))))),"")</f>
        <v>V 35</v>
      </c>
      <c r="H1155" s="28">
        <f t="shared" ref="H1155:H1218" ca="1" si="169">IFERROR(IF($A1155&gt;0,ROUNDDOWN(INT(TODAY()-F1155)/365.25,0),""),"")</f>
        <v>38</v>
      </c>
      <c r="J1155" s="38" t="str">
        <f t="shared" si="163"/>
        <v>Ana Luís</v>
      </c>
      <c r="K1155" s="39">
        <f t="shared" si="164"/>
        <v>266</v>
      </c>
      <c r="L1155" s="39">
        <f t="shared" si="165"/>
        <v>160038</v>
      </c>
      <c r="M1155" s="40">
        <f t="shared" ref="M1155:M1218" si="170">F1155</f>
        <v>30152</v>
      </c>
      <c r="N1155" s="41" t="str">
        <f t="shared" ref="N1155:N1218" ca="1" si="171">G1155</f>
        <v>V 35</v>
      </c>
      <c r="O1155" s="41" t="str">
        <f t="shared" si="166"/>
        <v>F</v>
      </c>
      <c r="P1155" s="60" t="str">
        <f t="shared" si="167"/>
        <v>VIP-RC</v>
      </c>
      <c r="Q1155" s="61"/>
    </row>
    <row r="1156" spans="1:17" ht="13">
      <c r="A1156" s="28">
        <v>1886</v>
      </c>
      <c r="B1156" s="28">
        <v>142512</v>
      </c>
      <c r="C1156" s="129" t="s">
        <v>543</v>
      </c>
      <c r="D1156" s="128" t="s">
        <v>123</v>
      </c>
      <c r="E1156" s="128" t="s">
        <v>145</v>
      </c>
      <c r="F1156" s="29">
        <v>39322</v>
      </c>
      <c r="G1156" s="56" t="str">
        <f t="shared" ca="1" si="168"/>
        <v>Iniciado</v>
      </c>
      <c r="H1156" s="28">
        <f t="shared" ca="1" si="169"/>
        <v>13</v>
      </c>
      <c r="J1156" s="38" t="str">
        <f t="shared" si="163"/>
        <v>Manuel Rocha</v>
      </c>
      <c r="K1156" s="39">
        <f t="shared" si="164"/>
        <v>1886</v>
      </c>
      <c r="L1156" s="39">
        <f t="shared" si="165"/>
        <v>142512</v>
      </c>
      <c r="M1156" s="40">
        <f t="shared" si="170"/>
        <v>39322</v>
      </c>
      <c r="N1156" s="41" t="str">
        <f t="shared" ca="1" si="171"/>
        <v>Iniciado</v>
      </c>
      <c r="O1156" s="41" t="str">
        <f t="shared" si="166"/>
        <v>M</v>
      </c>
      <c r="P1156" s="60" t="str">
        <f t="shared" si="167"/>
        <v>AJS</v>
      </c>
      <c r="Q1156" s="61"/>
    </row>
    <row r="1157" spans="1:17" ht="13">
      <c r="A1157" s="28">
        <v>1885</v>
      </c>
      <c r="B1157" s="28">
        <v>124879</v>
      </c>
      <c r="C1157" s="129" t="s">
        <v>1278</v>
      </c>
      <c r="D1157" s="128" t="s">
        <v>123</v>
      </c>
      <c r="E1157" s="128" t="s">
        <v>145</v>
      </c>
      <c r="F1157" s="29">
        <v>39202</v>
      </c>
      <c r="G1157" s="56" t="str">
        <f t="shared" ca="1" si="168"/>
        <v>Iniciado</v>
      </c>
      <c r="H1157" s="28">
        <f t="shared" ca="1" si="169"/>
        <v>13</v>
      </c>
      <c r="J1157" s="38" t="str">
        <f t="shared" si="163"/>
        <v>Tomé Serrão</v>
      </c>
      <c r="K1157" s="39">
        <f t="shared" si="164"/>
        <v>1885</v>
      </c>
      <c r="L1157" s="39">
        <f t="shared" si="165"/>
        <v>124879</v>
      </c>
      <c r="M1157" s="40">
        <f t="shared" si="170"/>
        <v>39202</v>
      </c>
      <c r="N1157" s="41" t="str">
        <f t="shared" ca="1" si="171"/>
        <v>Iniciado</v>
      </c>
      <c r="O1157" s="41" t="str">
        <f t="shared" si="166"/>
        <v>M</v>
      </c>
      <c r="P1157" s="60" t="str">
        <f t="shared" si="167"/>
        <v>AJS</v>
      </c>
      <c r="Q1157" s="61"/>
    </row>
    <row r="1158" spans="1:17" ht="13">
      <c r="A1158" s="28">
        <v>862</v>
      </c>
      <c r="B1158" s="28">
        <v>148455</v>
      </c>
      <c r="C1158" s="129" t="s">
        <v>1467</v>
      </c>
      <c r="D1158" s="128" t="s">
        <v>509</v>
      </c>
      <c r="E1158" s="128" t="s">
        <v>145</v>
      </c>
      <c r="F1158" s="29">
        <v>28783</v>
      </c>
      <c r="G1158" s="56" t="str">
        <f t="shared" ca="1" si="168"/>
        <v>V 40</v>
      </c>
      <c r="H1158" s="28">
        <f t="shared" ca="1" si="169"/>
        <v>42</v>
      </c>
      <c r="J1158" s="38" t="str">
        <f t="shared" si="163"/>
        <v>João D. Figueira</v>
      </c>
      <c r="K1158" s="39">
        <f t="shared" si="164"/>
        <v>862</v>
      </c>
      <c r="L1158" s="39">
        <f t="shared" si="165"/>
        <v>148455</v>
      </c>
      <c r="M1158" s="40">
        <f t="shared" si="170"/>
        <v>28783</v>
      </c>
      <c r="N1158" s="41" t="str">
        <f t="shared" ca="1" si="171"/>
        <v>V 40</v>
      </c>
      <c r="O1158" s="41" t="str">
        <f t="shared" si="166"/>
        <v>M</v>
      </c>
      <c r="P1158" s="60" t="str">
        <f t="shared" si="167"/>
        <v>APCTT</v>
      </c>
      <c r="Q1158" s="61"/>
    </row>
    <row r="1159" spans="1:17" ht="13">
      <c r="A1159" s="28">
        <v>864</v>
      </c>
      <c r="B1159" s="28">
        <v>134716</v>
      </c>
      <c r="C1159" s="129" t="s">
        <v>916</v>
      </c>
      <c r="D1159" s="128" t="s">
        <v>168</v>
      </c>
      <c r="E1159" s="128" t="s">
        <v>145</v>
      </c>
      <c r="F1159" s="29">
        <v>32521</v>
      </c>
      <c r="G1159" s="56" t="str">
        <f t="shared" ca="1" si="168"/>
        <v>Sénior</v>
      </c>
      <c r="H1159" s="28">
        <f t="shared" ca="1" si="169"/>
        <v>32</v>
      </c>
      <c r="J1159" s="38" t="str">
        <f t="shared" si="163"/>
        <v>Cláudio Abreu</v>
      </c>
      <c r="K1159" s="39">
        <f t="shared" si="164"/>
        <v>864</v>
      </c>
      <c r="L1159" s="39">
        <f t="shared" si="165"/>
        <v>134716</v>
      </c>
      <c r="M1159" s="40">
        <f t="shared" si="170"/>
        <v>32521</v>
      </c>
      <c r="N1159" s="41" t="str">
        <f t="shared" ca="1" si="171"/>
        <v>Sénior</v>
      </c>
      <c r="O1159" s="41" t="str">
        <f t="shared" si="166"/>
        <v>M</v>
      </c>
      <c r="P1159" s="60" t="str">
        <f t="shared" si="167"/>
        <v>MTT</v>
      </c>
      <c r="Q1159" s="61"/>
    </row>
    <row r="1160" spans="1:17" ht="13">
      <c r="A1160" s="28">
        <v>863</v>
      </c>
      <c r="B1160" s="28">
        <v>130575</v>
      </c>
      <c r="C1160" s="129" t="s">
        <v>1037</v>
      </c>
      <c r="D1160" s="128" t="s">
        <v>168</v>
      </c>
      <c r="E1160" s="128" t="s">
        <v>145</v>
      </c>
      <c r="F1160" s="29">
        <v>32541</v>
      </c>
      <c r="G1160" s="56" t="str">
        <f t="shared" ca="1" si="168"/>
        <v>Sénior</v>
      </c>
      <c r="H1160" s="28">
        <f t="shared" ca="1" si="169"/>
        <v>32</v>
      </c>
      <c r="J1160" s="38" t="str">
        <f t="shared" si="163"/>
        <v>Germano Oliveira</v>
      </c>
      <c r="K1160" s="39">
        <f t="shared" si="164"/>
        <v>863</v>
      </c>
      <c r="L1160" s="39">
        <f t="shared" si="165"/>
        <v>130575</v>
      </c>
      <c r="M1160" s="40">
        <f t="shared" si="170"/>
        <v>32541</v>
      </c>
      <c r="N1160" s="41" t="str">
        <f t="shared" ca="1" si="171"/>
        <v>Sénior</v>
      </c>
      <c r="O1160" s="41" t="str">
        <f t="shared" si="166"/>
        <v>M</v>
      </c>
      <c r="P1160" s="60" t="str">
        <f t="shared" si="167"/>
        <v>MTT</v>
      </c>
      <c r="Q1160" s="61"/>
    </row>
    <row r="1161" spans="1:17" ht="13">
      <c r="A1161" s="28">
        <v>177</v>
      </c>
      <c r="B1161" s="28">
        <v>161158</v>
      </c>
      <c r="C1161" s="129" t="s">
        <v>1347</v>
      </c>
      <c r="D1161" s="128" t="s">
        <v>168</v>
      </c>
      <c r="E1161" s="128" t="s">
        <v>146</v>
      </c>
      <c r="F1161" s="29">
        <v>32990</v>
      </c>
      <c r="G1161" s="56" t="str">
        <f t="shared" ca="1" si="168"/>
        <v>Sénior</v>
      </c>
      <c r="H1161" s="28">
        <f t="shared" ca="1" si="169"/>
        <v>30</v>
      </c>
      <c r="J1161" s="38" t="str">
        <f t="shared" si="163"/>
        <v>Érica Silva</v>
      </c>
      <c r="K1161" s="39">
        <f t="shared" si="164"/>
        <v>177</v>
      </c>
      <c r="L1161" s="39">
        <f t="shared" si="165"/>
        <v>161158</v>
      </c>
      <c r="M1161" s="40">
        <f t="shared" si="170"/>
        <v>32990</v>
      </c>
      <c r="N1161" s="41" t="str">
        <f t="shared" ca="1" si="171"/>
        <v>Sénior</v>
      </c>
      <c r="O1161" s="41" t="str">
        <f t="shared" si="166"/>
        <v>F</v>
      </c>
      <c r="P1161" s="60" t="str">
        <f t="shared" si="167"/>
        <v>MTT</v>
      </c>
      <c r="Q1161" s="61"/>
    </row>
    <row r="1162" spans="1:17" ht="13">
      <c r="A1162" s="28">
        <v>2085</v>
      </c>
      <c r="B1162" s="28">
        <v>156694</v>
      </c>
      <c r="C1162" s="129" t="s">
        <v>1565</v>
      </c>
      <c r="D1162" s="128" t="s">
        <v>123</v>
      </c>
      <c r="E1162" s="128" t="s">
        <v>146</v>
      </c>
      <c r="F1162" s="29">
        <v>40460</v>
      </c>
      <c r="G1162" s="56" t="str">
        <f t="shared" ca="1" si="168"/>
        <v>Benjamim B</v>
      </c>
      <c r="H1162" s="28">
        <f t="shared" ca="1" si="169"/>
        <v>10</v>
      </c>
      <c r="J1162" s="38" t="str">
        <f t="shared" si="163"/>
        <v>Laura I. Gouveia</v>
      </c>
      <c r="K1162" s="39">
        <f t="shared" si="164"/>
        <v>2085</v>
      </c>
      <c r="L1162" s="39">
        <f t="shared" si="165"/>
        <v>156694</v>
      </c>
      <c r="M1162" s="40">
        <f t="shared" si="170"/>
        <v>40460</v>
      </c>
      <c r="N1162" s="41" t="str">
        <f t="shared" ca="1" si="171"/>
        <v>Benjamim B</v>
      </c>
      <c r="O1162" s="41" t="str">
        <f t="shared" si="166"/>
        <v>F</v>
      </c>
      <c r="P1162" s="60" t="str">
        <f t="shared" si="167"/>
        <v>AJS</v>
      </c>
      <c r="Q1162" s="61"/>
    </row>
    <row r="1163" spans="1:17" ht="13">
      <c r="A1163" s="28">
        <v>1581</v>
      </c>
      <c r="B1163" s="28">
        <v>124067</v>
      </c>
      <c r="C1163" s="129" t="s">
        <v>1577</v>
      </c>
      <c r="D1163" s="128" t="s">
        <v>123</v>
      </c>
      <c r="E1163" s="128" t="s">
        <v>145</v>
      </c>
      <c r="F1163" s="29">
        <v>36963</v>
      </c>
      <c r="G1163" s="56" t="str">
        <f t="shared" ca="1" si="168"/>
        <v>sub 23</v>
      </c>
      <c r="H1163" s="28">
        <f t="shared" ca="1" si="169"/>
        <v>20</v>
      </c>
      <c r="J1163" s="38" t="str">
        <f t="shared" si="163"/>
        <v>Diogo Gonçalves</v>
      </c>
      <c r="K1163" s="39">
        <f t="shared" si="164"/>
        <v>1581</v>
      </c>
      <c r="L1163" s="39">
        <f t="shared" si="165"/>
        <v>124067</v>
      </c>
      <c r="M1163" s="40">
        <f t="shared" si="170"/>
        <v>36963</v>
      </c>
      <c r="N1163" s="41" t="str">
        <f t="shared" ca="1" si="171"/>
        <v>sub 23</v>
      </c>
      <c r="O1163" s="41" t="str">
        <f t="shared" si="166"/>
        <v>M</v>
      </c>
      <c r="P1163" s="60" t="str">
        <f t="shared" si="167"/>
        <v>AJS</v>
      </c>
      <c r="Q1163" s="61"/>
    </row>
    <row r="1164" spans="1:17" ht="13">
      <c r="A1164" s="28">
        <v>2223</v>
      </c>
      <c r="B1164" s="28">
        <v>164313</v>
      </c>
      <c r="C1164" s="129" t="s">
        <v>1578</v>
      </c>
      <c r="D1164" s="128" t="s">
        <v>123</v>
      </c>
      <c r="E1164" s="128" t="s">
        <v>145</v>
      </c>
      <c r="F1164" s="29">
        <v>40757</v>
      </c>
      <c r="G1164" s="56" t="str">
        <f t="shared" ca="1" si="168"/>
        <v>Benjamim B</v>
      </c>
      <c r="H1164" s="28">
        <f t="shared" ca="1" si="169"/>
        <v>9</v>
      </c>
      <c r="J1164" s="38" t="str">
        <f t="shared" si="163"/>
        <v>Tiago F. Camacho</v>
      </c>
      <c r="K1164" s="39">
        <f t="shared" si="164"/>
        <v>2223</v>
      </c>
      <c r="L1164" s="39">
        <f t="shared" si="165"/>
        <v>164313</v>
      </c>
      <c r="M1164" s="40">
        <f t="shared" si="170"/>
        <v>40757</v>
      </c>
      <c r="N1164" s="41" t="str">
        <f t="shared" ca="1" si="171"/>
        <v>Benjamim B</v>
      </c>
      <c r="O1164" s="41" t="str">
        <f t="shared" si="166"/>
        <v>M</v>
      </c>
      <c r="P1164" s="60" t="str">
        <f t="shared" si="167"/>
        <v>AJS</v>
      </c>
      <c r="Q1164" s="61"/>
    </row>
    <row r="1165" spans="1:17" ht="13">
      <c r="A1165" s="28">
        <v>2037</v>
      </c>
      <c r="B1165" s="28">
        <v>163810</v>
      </c>
      <c r="C1165" s="129" t="s">
        <v>1579</v>
      </c>
      <c r="D1165" s="128" t="s">
        <v>123</v>
      </c>
      <c r="E1165" s="128" t="s">
        <v>145</v>
      </c>
      <c r="F1165" s="29">
        <v>39628</v>
      </c>
      <c r="G1165" s="56" t="str">
        <f t="shared" ca="1" si="168"/>
        <v>Infantil</v>
      </c>
      <c r="H1165" s="28">
        <f t="shared" ca="1" si="169"/>
        <v>12</v>
      </c>
      <c r="J1165" s="38" t="str">
        <f t="shared" si="163"/>
        <v>José Carrascal</v>
      </c>
      <c r="K1165" s="39">
        <f t="shared" si="164"/>
        <v>2037</v>
      </c>
      <c r="L1165" s="39">
        <f t="shared" si="165"/>
        <v>163810</v>
      </c>
      <c r="M1165" s="40">
        <f t="shared" si="170"/>
        <v>39628</v>
      </c>
      <c r="N1165" s="41" t="str">
        <f t="shared" ca="1" si="171"/>
        <v>Infantil</v>
      </c>
      <c r="O1165" s="41" t="str">
        <f t="shared" si="166"/>
        <v>M</v>
      </c>
      <c r="P1165" s="60" t="str">
        <f t="shared" si="167"/>
        <v>AJS</v>
      </c>
      <c r="Q1165" s="61"/>
    </row>
    <row r="1166" spans="1:17" ht="13">
      <c r="A1166" s="28">
        <v>2086</v>
      </c>
      <c r="B1166" s="28">
        <v>163813</v>
      </c>
      <c r="C1166" s="129" t="s">
        <v>1566</v>
      </c>
      <c r="D1166" s="128" t="s">
        <v>123</v>
      </c>
      <c r="E1166" s="128" t="s">
        <v>146</v>
      </c>
      <c r="F1166" s="29">
        <v>41789</v>
      </c>
      <c r="G1166" s="56" t="str">
        <f t="shared" ca="1" si="168"/>
        <v>Benjamim A</v>
      </c>
      <c r="H1166" s="28">
        <f t="shared" ca="1" si="169"/>
        <v>6</v>
      </c>
      <c r="J1166" s="38" t="str">
        <f t="shared" si="163"/>
        <v>Ana Spínola</v>
      </c>
      <c r="K1166" s="39">
        <f t="shared" si="164"/>
        <v>2086</v>
      </c>
      <c r="L1166" s="39">
        <f t="shared" si="165"/>
        <v>163813</v>
      </c>
      <c r="M1166" s="40">
        <f t="shared" si="170"/>
        <v>41789</v>
      </c>
      <c r="N1166" s="41" t="str">
        <f t="shared" ca="1" si="171"/>
        <v>Benjamim A</v>
      </c>
      <c r="O1166" s="41" t="str">
        <f t="shared" si="166"/>
        <v>F</v>
      </c>
      <c r="P1166" s="60" t="str">
        <f t="shared" si="167"/>
        <v>AJS</v>
      </c>
      <c r="Q1166" s="61"/>
    </row>
    <row r="1167" spans="1:17" ht="13">
      <c r="A1167" s="28">
        <v>1708</v>
      </c>
      <c r="B1167" s="28">
        <v>160391</v>
      </c>
      <c r="C1167" s="129" t="s">
        <v>1314</v>
      </c>
      <c r="D1167" s="128" t="s">
        <v>97</v>
      </c>
      <c r="E1167" s="128" t="s">
        <v>145</v>
      </c>
      <c r="F1167" s="29">
        <v>38377</v>
      </c>
      <c r="G1167" s="56" t="str">
        <f t="shared" ca="1" si="168"/>
        <v>Juvenil</v>
      </c>
      <c r="H1167" s="28">
        <f t="shared" ca="1" si="169"/>
        <v>16</v>
      </c>
      <c r="J1167" s="38" t="str">
        <f t="shared" si="163"/>
        <v>Artur Martins</v>
      </c>
      <c r="K1167" s="39">
        <f t="shared" si="164"/>
        <v>1708</v>
      </c>
      <c r="L1167" s="39">
        <f t="shared" si="165"/>
        <v>160391</v>
      </c>
      <c r="M1167" s="40">
        <f t="shared" si="170"/>
        <v>38377</v>
      </c>
      <c r="N1167" s="41" t="str">
        <f t="shared" ca="1" si="171"/>
        <v>Juvenil</v>
      </c>
      <c r="O1167" s="41" t="str">
        <f t="shared" si="166"/>
        <v>M</v>
      </c>
      <c r="P1167" s="60" t="str">
        <f t="shared" si="167"/>
        <v>ADRAP</v>
      </c>
      <c r="Q1167" s="61"/>
    </row>
    <row r="1168" spans="1:17" ht="13">
      <c r="A1168" s="28">
        <v>1707</v>
      </c>
      <c r="B1168" s="28">
        <v>142829</v>
      </c>
      <c r="C1168" s="129" t="s">
        <v>1273</v>
      </c>
      <c r="D1168" s="128" t="s">
        <v>97</v>
      </c>
      <c r="E1168" s="128" t="s">
        <v>145</v>
      </c>
      <c r="F1168" s="29">
        <v>37925</v>
      </c>
      <c r="G1168" s="56" t="str">
        <f t="shared" ca="1" si="168"/>
        <v>Júnior</v>
      </c>
      <c r="H1168" s="28">
        <f t="shared" ca="1" si="169"/>
        <v>17</v>
      </c>
      <c r="J1168" s="38" t="str">
        <f t="shared" si="163"/>
        <v>Miguel S. Abreu</v>
      </c>
      <c r="K1168" s="39">
        <f t="shared" si="164"/>
        <v>1707</v>
      </c>
      <c r="L1168" s="39">
        <f t="shared" si="165"/>
        <v>142829</v>
      </c>
      <c r="M1168" s="40">
        <f t="shared" si="170"/>
        <v>37925</v>
      </c>
      <c r="N1168" s="41" t="str">
        <f t="shared" ca="1" si="171"/>
        <v>Júnior</v>
      </c>
      <c r="O1168" s="41" t="str">
        <f t="shared" si="166"/>
        <v>M</v>
      </c>
      <c r="P1168" s="60" t="str">
        <f t="shared" si="167"/>
        <v>ADRAP</v>
      </c>
      <c r="Q1168" s="61"/>
    </row>
    <row r="1169" spans="1:17" ht="13">
      <c r="A1169" s="28">
        <v>1582</v>
      </c>
      <c r="B1169" s="28">
        <v>132140</v>
      </c>
      <c r="C1169" s="129" t="s">
        <v>935</v>
      </c>
      <c r="D1169" s="128" t="s">
        <v>97</v>
      </c>
      <c r="E1169" s="128" t="s">
        <v>146</v>
      </c>
      <c r="F1169" s="29">
        <v>37674</v>
      </c>
      <c r="G1169" s="56" t="str">
        <f t="shared" ca="1" si="168"/>
        <v>Júnior</v>
      </c>
      <c r="H1169" s="28">
        <f t="shared" ca="1" si="169"/>
        <v>18</v>
      </c>
      <c r="J1169" s="38" t="str">
        <f t="shared" si="163"/>
        <v>Ana Luísa Catanho</v>
      </c>
      <c r="K1169" s="39">
        <f t="shared" si="164"/>
        <v>1582</v>
      </c>
      <c r="L1169" s="39">
        <f t="shared" si="165"/>
        <v>132140</v>
      </c>
      <c r="M1169" s="40">
        <f t="shared" si="170"/>
        <v>37674</v>
      </c>
      <c r="N1169" s="41" t="str">
        <f t="shared" ca="1" si="171"/>
        <v>Júnior</v>
      </c>
      <c r="O1169" s="41" t="str">
        <f t="shared" si="166"/>
        <v>F</v>
      </c>
      <c r="P1169" s="60" t="str">
        <f t="shared" si="167"/>
        <v>ADRAP</v>
      </c>
      <c r="Q1169" s="61"/>
    </row>
    <row r="1170" spans="1:17" ht="13">
      <c r="A1170" s="28">
        <v>1910</v>
      </c>
      <c r="B1170" s="28">
        <v>132143</v>
      </c>
      <c r="C1170" s="129" t="s">
        <v>936</v>
      </c>
      <c r="D1170" s="128" t="s">
        <v>97</v>
      </c>
      <c r="E1170" s="128" t="s">
        <v>146</v>
      </c>
      <c r="F1170" s="29">
        <v>39581</v>
      </c>
      <c r="G1170" s="56" t="str">
        <f t="shared" ca="1" si="168"/>
        <v>Infantil</v>
      </c>
      <c r="H1170" s="28">
        <f t="shared" ca="1" si="169"/>
        <v>12</v>
      </c>
      <c r="J1170" s="38" t="str">
        <f t="shared" si="163"/>
        <v>Clarisse Catanho</v>
      </c>
      <c r="K1170" s="39">
        <f t="shared" si="164"/>
        <v>1910</v>
      </c>
      <c r="L1170" s="39">
        <f t="shared" si="165"/>
        <v>132143</v>
      </c>
      <c r="M1170" s="40">
        <f t="shared" si="170"/>
        <v>39581</v>
      </c>
      <c r="N1170" s="41" t="str">
        <f t="shared" ca="1" si="171"/>
        <v>Infantil</v>
      </c>
      <c r="O1170" s="41" t="str">
        <f t="shared" si="166"/>
        <v>F</v>
      </c>
      <c r="P1170" s="60" t="str">
        <f t="shared" si="167"/>
        <v>ADRAP</v>
      </c>
      <c r="Q1170" s="61"/>
    </row>
    <row r="1171" spans="1:17" ht="13">
      <c r="A1171" s="28">
        <v>1884</v>
      </c>
      <c r="B1171" s="28">
        <v>156841</v>
      </c>
      <c r="C1171" s="129" t="s">
        <v>1073</v>
      </c>
      <c r="D1171" s="128" t="s">
        <v>97</v>
      </c>
      <c r="E1171" s="128" t="s">
        <v>146</v>
      </c>
      <c r="F1171" s="29">
        <v>38793</v>
      </c>
      <c r="G1171" s="56" t="str">
        <f t="shared" ca="1" si="168"/>
        <v>Iniciado</v>
      </c>
      <c r="H1171" s="28">
        <f t="shared" ca="1" si="169"/>
        <v>15</v>
      </c>
      <c r="J1171" s="38" t="str">
        <f t="shared" si="163"/>
        <v>Bruna Sousa</v>
      </c>
      <c r="K1171" s="39">
        <f t="shared" si="164"/>
        <v>1884</v>
      </c>
      <c r="L1171" s="39">
        <f t="shared" si="165"/>
        <v>156841</v>
      </c>
      <c r="M1171" s="40">
        <f t="shared" si="170"/>
        <v>38793</v>
      </c>
      <c r="N1171" s="41" t="str">
        <f t="shared" ca="1" si="171"/>
        <v>Iniciado</v>
      </c>
      <c r="O1171" s="41" t="str">
        <f t="shared" si="166"/>
        <v>F</v>
      </c>
      <c r="P1171" s="60" t="str">
        <f t="shared" si="167"/>
        <v>ADRAP</v>
      </c>
      <c r="Q1171" s="61"/>
    </row>
    <row r="1172" spans="1:17" ht="13">
      <c r="A1172" s="28">
        <v>1911</v>
      </c>
      <c r="B1172" s="28">
        <v>156873</v>
      </c>
      <c r="C1172" s="129" t="s">
        <v>1080</v>
      </c>
      <c r="D1172" s="128" t="s">
        <v>97</v>
      </c>
      <c r="E1172" s="128" t="s">
        <v>146</v>
      </c>
      <c r="F1172" s="29">
        <v>39463</v>
      </c>
      <c r="G1172" s="56" t="str">
        <f t="shared" ca="1" si="168"/>
        <v>Infantil</v>
      </c>
      <c r="H1172" s="28">
        <f t="shared" ca="1" si="169"/>
        <v>13</v>
      </c>
      <c r="J1172" s="38" t="str">
        <f t="shared" si="163"/>
        <v>Matilde Freitas</v>
      </c>
      <c r="K1172" s="39">
        <f t="shared" si="164"/>
        <v>1911</v>
      </c>
      <c r="L1172" s="39">
        <f t="shared" si="165"/>
        <v>156873</v>
      </c>
      <c r="M1172" s="40">
        <f t="shared" si="170"/>
        <v>39463</v>
      </c>
      <c r="N1172" s="41" t="str">
        <f t="shared" ca="1" si="171"/>
        <v>Infantil</v>
      </c>
      <c r="O1172" s="41" t="str">
        <f t="shared" si="166"/>
        <v>F</v>
      </c>
      <c r="P1172" s="60" t="str">
        <f t="shared" si="167"/>
        <v>ADRAP</v>
      </c>
      <c r="Q1172" s="61"/>
    </row>
    <row r="1173" spans="1:17" ht="13">
      <c r="A1173" s="28">
        <v>2036</v>
      </c>
      <c r="B1173" s="28">
        <v>156872</v>
      </c>
      <c r="C1173" s="129" t="s">
        <v>1081</v>
      </c>
      <c r="D1173" s="128" t="s">
        <v>97</v>
      </c>
      <c r="E1173" s="128" t="s">
        <v>145</v>
      </c>
      <c r="F1173" s="29">
        <v>39463</v>
      </c>
      <c r="G1173" s="56" t="str">
        <f t="shared" ca="1" si="168"/>
        <v>Infantil</v>
      </c>
      <c r="H1173" s="28">
        <f t="shared" ca="1" si="169"/>
        <v>13</v>
      </c>
      <c r="J1173" s="38" t="str">
        <f t="shared" si="163"/>
        <v>Matias Freitas</v>
      </c>
      <c r="K1173" s="39">
        <f t="shared" si="164"/>
        <v>2036</v>
      </c>
      <c r="L1173" s="39">
        <f t="shared" si="165"/>
        <v>156872</v>
      </c>
      <c r="M1173" s="40">
        <f t="shared" si="170"/>
        <v>39463</v>
      </c>
      <c r="N1173" s="41" t="str">
        <f t="shared" ca="1" si="171"/>
        <v>Infantil</v>
      </c>
      <c r="O1173" s="41" t="str">
        <f t="shared" si="166"/>
        <v>M</v>
      </c>
      <c r="P1173" s="60" t="str">
        <f t="shared" si="167"/>
        <v>ADRAP</v>
      </c>
      <c r="Q1173" s="61"/>
    </row>
    <row r="1174" spans="1:17" ht="13">
      <c r="A1174" s="28">
        <v>860</v>
      </c>
      <c r="B1174" s="28">
        <v>133798</v>
      </c>
      <c r="C1174" s="129" t="s">
        <v>729</v>
      </c>
      <c r="D1174" s="128" t="s">
        <v>97</v>
      </c>
      <c r="E1174" s="128" t="s">
        <v>145</v>
      </c>
      <c r="F1174" s="29">
        <v>36814</v>
      </c>
      <c r="G1174" s="56" t="str">
        <f t="shared" ca="1" si="168"/>
        <v>sub 23</v>
      </c>
      <c r="H1174" s="28">
        <f t="shared" ca="1" si="169"/>
        <v>20</v>
      </c>
      <c r="J1174" s="38" t="str">
        <f t="shared" si="163"/>
        <v>Lino Viveiros</v>
      </c>
      <c r="K1174" s="39">
        <f t="shared" si="164"/>
        <v>860</v>
      </c>
      <c r="L1174" s="39">
        <f t="shared" si="165"/>
        <v>133798</v>
      </c>
      <c r="M1174" s="40">
        <f t="shared" si="170"/>
        <v>36814</v>
      </c>
      <c r="N1174" s="41" t="str">
        <f t="shared" ca="1" si="171"/>
        <v>sub 23</v>
      </c>
      <c r="O1174" s="41" t="str">
        <f t="shared" si="166"/>
        <v>M</v>
      </c>
      <c r="P1174" s="60" t="str">
        <f t="shared" si="167"/>
        <v>ADRAP</v>
      </c>
      <c r="Q1174" s="61"/>
    </row>
    <row r="1175" spans="1:17" ht="13">
      <c r="A1175" s="28">
        <v>1779</v>
      </c>
      <c r="B1175" s="28">
        <v>140330</v>
      </c>
      <c r="C1175" s="129" t="s">
        <v>1567</v>
      </c>
      <c r="D1175" s="128" t="s">
        <v>123</v>
      </c>
      <c r="E1175" s="128" t="s">
        <v>146</v>
      </c>
      <c r="F1175" s="29">
        <v>38979</v>
      </c>
      <c r="G1175" s="56" t="str">
        <f t="shared" ca="1" si="168"/>
        <v>Iniciado</v>
      </c>
      <c r="H1175" s="28">
        <f t="shared" ca="1" si="169"/>
        <v>14</v>
      </c>
      <c r="J1175" s="38" t="str">
        <f t="shared" si="163"/>
        <v>Valéria Faria</v>
      </c>
      <c r="K1175" s="39">
        <f t="shared" si="164"/>
        <v>1779</v>
      </c>
      <c r="L1175" s="39">
        <f t="shared" si="165"/>
        <v>140330</v>
      </c>
      <c r="M1175" s="40">
        <f t="shared" si="170"/>
        <v>38979</v>
      </c>
      <c r="N1175" s="41" t="str">
        <f t="shared" ca="1" si="171"/>
        <v>Iniciado</v>
      </c>
      <c r="O1175" s="41" t="str">
        <f t="shared" si="166"/>
        <v>F</v>
      </c>
      <c r="P1175" s="60" t="str">
        <f t="shared" si="167"/>
        <v>AJS</v>
      </c>
      <c r="Q1175" s="61"/>
    </row>
    <row r="1176" spans="1:17" ht="13">
      <c r="A1176" s="28">
        <v>1583</v>
      </c>
      <c r="B1176" s="28">
        <v>132142</v>
      </c>
      <c r="C1176" s="129" t="s">
        <v>1023</v>
      </c>
      <c r="D1176" s="128" t="s">
        <v>97</v>
      </c>
      <c r="E1176" s="128" t="s">
        <v>146</v>
      </c>
      <c r="F1176" s="29">
        <v>37674</v>
      </c>
      <c r="G1176" s="56" t="str">
        <f t="shared" ca="1" si="168"/>
        <v>Júnior</v>
      </c>
      <c r="H1176" s="28">
        <f t="shared" ca="1" si="169"/>
        <v>18</v>
      </c>
      <c r="J1176" s="38" t="str">
        <f t="shared" si="163"/>
        <v>Ana Leonor Catanho</v>
      </c>
      <c r="K1176" s="39">
        <f t="shared" si="164"/>
        <v>1583</v>
      </c>
      <c r="L1176" s="39">
        <f t="shared" si="165"/>
        <v>132142</v>
      </c>
      <c r="M1176" s="40">
        <f t="shared" si="170"/>
        <v>37674</v>
      </c>
      <c r="N1176" s="41" t="str">
        <f t="shared" ca="1" si="171"/>
        <v>Júnior</v>
      </c>
      <c r="O1176" s="41" t="str">
        <f t="shared" si="166"/>
        <v>F</v>
      </c>
      <c r="P1176" s="60" t="str">
        <f t="shared" si="167"/>
        <v>ADRAP</v>
      </c>
      <c r="Q1176" s="61"/>
    </row>
    <row r="1177" spans="1:17" ht="13">
      <c r="A1177" s="28">
        <v>859</v>
      </c>
      <c r="B1177" s="28">
        <v>123616</v>
      </c>
      <c r="C1177" s="129" t="s">
        <v>590</v>
      </c>
      <c r="D1177" s="128" t="s">
        <v>97</v>
      </c>
      <c r="E1177" s="128" t="s">
        <v>145</v>
      </c>
      <c r="F1177" s="29">
        <v>26672</v>
      </c>
      <c r="G1177" s="56" t="str">
        <f t="shared" ca="1" si="168"/>
        <v>V 45</v>
      </c>
      <c r="H1177" s="28">
        <f t="shared" ca="1" si="169"/>
        <v>48</v>
      </c>
      <c r="J1177" s="38" t="str">
        <f t="shared" si="163"/>
        <v>Manuel Almeida</v>
      </c>
      <c r="K1177" s="39">
        <f t="shared" si="164"/>
        <v>859</v>
      </c>
      <c r="L1177" s="39">
        <f t="shared" si="165"/>
        <v>123616</v>
      </c>
      <c r="M1177" s="40">
        <f t="shared" si="170"/>
        <v>26672</v>
      </c>
      <c r="N1177" s="41" t="str">
        <f t="shared" ca="1" si="171"/>
        <v>V 45</v>
      </c>
      <c r="O1177" s="41" t="str">
        <f t="shared" si="166"/>
        <v>M</v>
      </c>
      <c r="P1177" s="60" t="str">
        <f t="shared" si="167"/>
        <v>ADRAP</v>
      </c>
      <c r="Q1177" s="61"/>
    </row>
    <row r="1178" spans="1:17" ht="13">
      <c r="A1178" s="28">
        <v>858</v>
      </c>
      <c r="B1178" s="28">
        <v>123942</v>
      </c>
      <c r="C1178" s="129" t="s">
        <v>919</v>
      </c>
      <c r="D1178" s="128" t="s">
        <v>153</v>
      </c>
      <c r="E1178" s="128" t="s">
        <v>145</v>
      </c>
      <c r="F1178" s="29">
        <v>27760</v>
      </c>
      <c r="G1178" s="56" t="str">
        <f t="shared" ca="1" si="168"/>
        <v>V 45</v>
      </c>
      <c r="H1178" s="28">
        <f t="shared" ca="1" si="169"/>
        <v>45</v>
      </c>
      <c r="J1178" s="38" t="str">
        <f t="shared" si="163"/>
        <v>Miguel Gouveia</v>
      </c>
      <c r="K1178" s="39">
        <f t="shared" si="164"/>
        <v>858</v>
      </c>
      <c r="L1178" s="39">
        <f t="shared" si="165"/>
        <v>123942</v>
      </c>
      <c r="M1178" s="40">
        <f t="shared" si="170"/>
        <v>27760</v>
      </c>
      <c r="N1178" s="41" t="str">
        <f t="shared" ca="1" si="171"/>
        <v>V 45</v>
      </c>
      <c r="O1178" s="41" t="str">
        <f t="shared" si="166"/>
        <v>M</v>
      </c>
      <c r="P1178" s="60" t="str">
        <f t="shared" si="167"/>
        <v>CDI-M</v>
      </c>
      <c r="Q1178" s="61"/>
    </row>
    <row r="1179" spans="1:17" ht="13">
      <c r="A1179" s="28">
        <v>1883</v>
      </c>
      <c r="B1179" s="28">
        <v>148700</v>
      </c>
      <c r="C1179" s="129" t="s">
        <v>1014</v>
      </c>
      <c r="D1179" s="128" t="s">
        <v>153</v>
      </c>
      <c r="E1179" s="128" t="s">
        <v>145</v>
      </c>
      <c r="F1179" s="29">
        <v>39301</v>
      </c>
      <c r="G1179" s="56" t="str">
        <f t="shared" ca="1" si="168"/>
        <v>Iniciado</v>
      </c>
      <c r="H1179" s="28">
        <f t="shared" ca="1" si="169"/>
        <v>13</v>
      </c>
      <c r="J1179" s="38" t="str">
        <f t="shared" si="163"/>
        <v>Francisco J. Gouveia</v>
      </c>
      <c r="K1179" s="39">
        <f t="shared" si="164"/>
        <v>1883</v>
      </c>
      <c r="L1179" s="39">
        <f t="shared" si="165"/>
        <v>148700</v>
      </c>
      <c r="M1179" s="40">
        <f t="shared" si="170"/>
        <v>39301</v>
      </c>
      <c r="N1179" s="41" t="str">
        <f t="shared" ca="1" si="171"/>
        <v>Iniciado</v>
      </c>
      <c r="O1179" s="41" t="str">
        <f t="shared" si="166"/>
        <v>M</v>
      </c>
      <c r="P1179" s="60" t="str">
        <f t="shared" si="167"/>
        <v>CDI-M</v>
      </c>
      <c r="Q1179" s="61"/>
    </row>
    <row r="1180" spans="1:17" ht="13">
      <c r="A1180" s="28">
        <v>1882</v>
      </c>
      <c r="B1180" s="28">
        <v>138252</v>
      </c>
      <c r="C1180" s="129" t="s">
        <v>1113</v>
      </c>
      <c r="D1180" s="128" t="s">
        <v>153</v>
      </c>
      <c r="E1180" s="128" t="s">
        <v>145</v>
      </c>
      <c r="F1180" s="29">
        <v>39381</v>
      </c>
      <c r="G1180" s="56" t="str">
        <f t="shared" ca="1" si="168"/>
        <v>Iniciado</v>
      </c>
      <c r="H1180" s="28">
        <f t="shared" ca="1" si="169"/>
        <v>13</v>
      </c>
      <c r="J1180" s="38" t="str">
        <f t="shared" si="163"/>
        <v>Simão Mendonça</v>
      </c>
      <c r="K1180" s="39">
        <f t="shared" si="164"/>
        <v>1882</v>
      </c>
      <c r="L1180" s="39">
        <f t="shared" si="165"/>
        <v>138252</v>
      </c>
      <c r="M1180" s="40">
        <f t="shared" si="170"/>
        <v>39381</v>
      </c>
      <c r="N1180" s="41" t="str">
        <f t="shared" ca="1" si="171"/>
        <v>Iniciado</v>
      </c>
      <c r="O1180" s="41" t="str">
        <f t="shared" si="166"/>
        <v>M</v>
      </c>
      <c r="P1180" s="60" t="str">
        <f t="shared" si="167"/>
        <v>CDI-M</v>
      </c>
      <c r="Q1180" s="61"/>
    </row>
    <row r="1181" spans="1:17" ht="13">
      <c r="A1181" s="28">
        <v>2035</v>
      </c>
      <c r="B1181" s="28">
        <v>164378</v>
      </c>
      <c r="C1181" s="129" t="s">
        <v>1496</v>
      </c>
      <c r="D1181" s="128" t="s">
        <v>148</v>
      </c>
      <c r="E1181" s="128" t="s">
        <v>145</v>
      </c>
      <c r="F1181" s="29">
        <v>39899</v>
      </c>
      <c r="G1181" s="56" t="str">
        <f t="shared" ca="1" si="168"/>
        <v>Infantil</v>
      </c>
      <c r="H1181" s="28">
        <f t="shared" ca="1" si="169"/>
        <v>12</v>
      </c>
      <c r="J1181" s="38" t="str">
        <f t="shared" si="163"/>
        <v>Lucas Cruz</v>
      </c>
      <c r="K1181" s="39">
        <f t="shared" si="164"/>
        <v>2035</v>
      </c>
      <c r="L1181" s="39">
        <f t="shared" si="165"/>
        <v>164378</v>
      </c>
      <c r="M1181" s="40">
        <f t="shared" si="170"/>
        <v>39899</v>
      </c>
      <c r="N1181" s="41" t="str">
        <f t="shared" ca="1" si="171"/>
        <v>Infantil</v>
      </c>
      <c r="O1181" s="41" t="str">
        <f t="shared" si="166"/>
        <v>M</v>
      </c>
      <c r="P1181" s="60" t="str">
        <f t="shared" si="167"/>
        <v>IND-M</v>
      </c>
      <c r="Q1181" s="61"/>
    </row>
    <row r="1182" spans="1:17" ht="13">
      <c r="A1182" s="28">
        <v>2034</v>
      </c>
      <c r="B1182" s="28">
        <v>162108</v>
      </c>
      <c r="C1182" s="129" t="s">
        <v>1397</v>
      </c>
      <c r="D1182" s="128" t="s">
        <v>124</v>
      </c>
      <c r="E1182" s="128" t="s">
        <v>145</v>
      </c>
      <c r="F1182" s="29">
        <v>39488</v>
      </c>
      <c r="G1182" s="56" t="str">
        <f t="shared" ca="1" si="168"/>
        <v>Infantil</v>
      </c>
      <c r="H1182" s="28">
        <f t="shared" ca="1" si="169"/>
        <v>13</v>
      </c>
      <c r="J1182" s="38" t="str">
        <f t="shared" si="163"/>
        <v>Miguel A. Nóbrega</v>
      </c>
      <c r="K1182" s="39">
        <f t="shared" si="164"/>
        <v>2034</v>
      </c>
      <c r="L1182" s="39">
        <f t="shared" si="165"/>
        <v>162108</v>
      </c>
      <c r="M1182" s="40">
        <f t="shared" si="170"/>
        <v>39488</v>
      </c>
      <c r="N1182" s="41" t="str">
        <f t="shared" ca="1" si="171"/>
        <v>Infantil</v>
      </c>
      <c r="O1182" s="41" t="str">
        <f t="shared" si="166"/>
        <v>M</v>
      </c>
      <c r="P1182" s="60" t="str">
        <f t="shared" si="167"/>
        <v>CSM</v>
      </c>
      <c r="Q1182" s="61"/>
    </row>
    <row r="1183" spans="1:17" ht="13">
      <c r="A1183" s="28">
        <v>2221</v>
      </c>
      <c r="B1183" s="28">
        <v>163854</v>
      </c>
      <c r="C1183" s="129" t="s">
        <v>1437</v>
      </c>
      <c r="D1183" s="128" t="s">
        <v>124</v>
      </c>
      <c r="E1183" s="128" t="s">
        <v>145</v>
      </c>
      <c r="F1183" s="29">
        <v>40273</v>
      </c>
      <c r="G1183" s="56" t="str">
        <f t="shared" ca="1" si="168"/>
        <v>Benjamim B</v>
      </c>
      <c r="H1183" s="28">
        <f t="shared" ca="1" si="169"/>
        <v>11</v>
      </c>
      <c r="J1183" s="38" t="str">
        <f t="shared" si="163"/>
        <v>Simão Maltez</v>
      </c>
      <c r="K1183" s="39">
        <f t="shared" si="164"/>
        <v>2221</v>
      </c>
      <c r="L1183" s="39">
        <f t="shared" si="165"/>
        <v>163854</v>
      </c>
      <c r="M1183" s="40">
        <f t="shared" si="170"/>
        <v>40273</v>
      </c>
      <c r="N1183" s="41" t="str">
        <f t="shared" ca="1" si="171"/>
        <v>Benjamim B</v>
      </c>
      <c r="O1183" s="41" t="str">
        <f t="shared" si="166"/>
        <v>M</v>
      </c>
      <c r="P1183" s="60" t="str">
        <f t="shared" si="167"/>
        <v>CSM</v>
      </c>
      <c r="Q1183" s="61"/>
    </row>
    <row r="1184" spans="1:17" ht="13">
      <c r="A1184" s="28">
        <v>2033</v>
      </c>
      <c r="B1184" s="28">
        <v>138727</v>
      </c>
      <c r="C1184" s="129" t="s">
        <v>1375</v>
      </c>
      <c r="D1184" s="128" t="s">
        <v>124</v>
      </c>
      <c r="E1184" s="128" t="s">
        <v>145</v>
      </c>
      <c r="F1184" s="29">
        <v>39926</v>
      </c>
      <c r="G1184" s="56" t="str">
        <f t="shared" ca="1" si="168"/>
        <v>Infantil</v>
      </c>
      <c r="H1184" s="28">
        <f t="shared" ca="1" si="169"/>
        <v>11</v>
      </c>
      <c r="J1184" s="38" t="str">
        <f t="shared" si="163"/>
        <v>Matias Barros</v>
      </c>
      <c r="K1184" s="39">
        <f t="shared" si="164"/>
        <v>2033</v>
      </c>
      <c r="L1184" s="39">
        <f t="shared" si="165"/>
        <v>138727</v>
      </c>
      <c r="M1184" s="40">
        <f t="shared" si="170"/>
        <v>39926</v>
      </c>
      <c r="N1184" s="41" t="str">
        <f t="shared" ca="1" si="171"/>
        <v>Infantil</v>
      </c>
      <c r="O1184" s="41" t="str">
        <f t="shared" si="166"/>
        <v>M</v>
      </c>
      <c r="P1184" s="60" t="str">
        <f t="shared" si="167"/>
        <v>CSM</v>
      </c>
      <c r="Q1184" s="61"/>
    </row>
    <row r="1185" spans="1:17" ht="13">
      <c r="A1185" s="28">
        <v>2087</v>
      </c>
      <c r="B1185" s="28">
        <v>153183</v>
      </c>
      <c r="C1185" s="129" t="s">
        <v>879</v>
      </c>
      <c r="D1185" s="128" t="s">
        <v>736</v>
      </c>
      <c r="E1185" s="128" t="s">
        <v>146</v>
      </c>
      <c r="F1185" s="29">
        <v>40499</v>
      </c>
      <c r="G1185" s="56" t="str">
        <f t="shared" ca="1" si="168"/>
        <v>Benjamim B</v>
      </c>
      <c r="H1185" s="28">
        <f t="shared" ca="1" si="169"/>
        <v>10</v>
      </c>
      <c r="J1185" s="38" t="str">
        <f t="shared" si="163"/>
        <v>Catarina Afonso</v>
      </c>
      <c r="K1185" s="39">
        <f t="shared" si="164"/>
        <v>2087</v>
      </c>
      <c r="L1185" s="39">
        <f t="shared" si="165"/>
        <v>153183</v>
      </c>
      <c r="M1185" s="40">
        <f t="shared" si="170"/>
        <v>40499</v>
      </c>
      <c r="N1185" s="41" t="str">
        <f t="shared" ca="1" si="171"/>
        <v>Benjamim B</v>
      </c>
      <c r="O1185" s="41" t="str">
        <f t="shared" si="166"/>
        <v>F</v>
      </c>
      <c r="P1185" s="60" t="str">
        <f t="shared" si="167"/>
        <v>CFA-M</v>
      </c>
      <c r="Q1185" s="61"/>
    </row>
    <row r="1186" spans="1:17" ht="13">
      <c r="A1186" s="28">
        <v>861</v>
      </c>
      <c r="B1186" s="28">
        <v>145733</v>
      </c>
      <c r="C1186" s="129" t="s">
        <v>973</v>
      </c>
      <c r="D1186" s="128" t="s">
        <v>736</v>
      </c>
      <c r="E1186" s="128" t="s">
        <v>145</v>
      </c>
      <c r="F1186" s="29">
        <v>30380</v>
      </c>
      <c r="G1186" s="56" t="str">
        <f t="shared" ca="1" si="168"/>
        <v>V 35</v>
      </c>
      <c r="H1186" s="28">
        <f t="shared" ca="1" si="169"/>
        <v>38</v>
      </c>
      <c r="J1186" s="38" t="str">
        <f t="shared" si="163"/>
        <v>Fábio Vaz Gonçalves</v>
      </c>
      <c r="K1186" s="39">
        <f t="shared" si="164"/>
        <v>861</v>
      </c>
      <c r="L1186" s="39">
        <f t="shared" si="165"/>
        <v>145733</v>
      </c>
      <c r="M1186" s="40">
        <f t="shared" si="170"/>
        <v>30380</v>
      </c>
      <c r="N1186" s="41" t="str">
        <f t="shared" ca="1" si="171"/>
        <v>V 35</v>
      </c>
      <c r="O1186" s="41" t="str">
        <f t="shared" si="166"/>
        <v>M</v>
      </c>
      <c r="P1186" s="60" t="str">
        <f t="shared" si="167"/>
        <v>CFA-M</v>
      </c>
      <c r="Q1186" s="61"/>
    </row>
    <row r="1187" spans="1:17" ht="13">
      <c r="A1187" s="28">
        <v>275</v>
      </c>
      <c r="B1187" s="28">
        <v>145735</v>
      </c>
      <c r="C1187" s="129" t="s">
        <v>597</v>
      </c>
      <c r="D1187" s="128" t="s">
        <v>736</v>
      </c>
      <c r="E1187" s="128" t="s">
        <v>146</v>
      </c>
      <c r="F1187" s="29">
        <v>30078</v>
      </c>
      <c r="G1187" s="56" t="str">
        <f t="shared" ca="1" si="168"/>
        <v>V 35</v>
      </c>
      <c r="H1187" s="28">
        <f t="shared" ca="1" si="169"/>
        <v>38</v>
      </c>
      <c r="J1187" s="38" t="str">
        <f t="shared" si="163"/>
        <v>Yuzi Abreu</v>
      </c>
      <c r="K1187" s="39">
        <f t="shared" si="164"/>
        <v>275</v>
      </c>
      <c r="L1187" s="39">
        <f t="shared" si="165"/>
        <v>145735</v>
      </c>
      <c r="M1187" s="40">
        <f t="shared" si="170"/>
        <v>30078</v>
      </c>
      <c r="N1187" s="41" t="str">
        <f t="shared" ca="1" si="171"/>
        <v>V 35</v>
      </c>
      <c r="O1187" s="41" t="str">
        <f t="shared" si="166"/>
        <v>F</v>
      </c>
      <c r="P1187" s="60" t="str">
        <f t="shared" si="167"/>
        <v>CFA-M</v>
      </c>
      <c r="Q1187" s="61"/>
    </row>
    <row r="1188" spans="1:17" ht="13">
      <c r="A1188" s="28">
        <v>2222</v>
      </c>
      <c r="B1188" s="28">
        <v>158823</v>
      </c>
      <c r="C1188" s="129" t="s">
        <v>1206</v>
      </c>
      <c r="D1188" s="128" t="s">
        <v>736</v>
      </c>
      <c r="E1188" s="128" t="s">
        <v>145</v>
      </c>
      <c r="F1188" s="29">
        <v>41526</v>
      </c>
      <c r="G1188" s="56" t="str">
        <f t="shared" ca="1" si="168"/>
        <v>Benjamim A</v>
      </c>
      <c r="H1188" s="28">
        <f t="shared" ca="1" si="169"/>
        <v>7</v>
      </c>
      <c r="J1188" s="38" t="str">
        <f t="shared" si="163"/>
        <v>Fabián Silva</v>
      </c>
      <c r="K1188" s="39">
        <f t="shared" si="164"/>
        <v>2222</v>
      </c>
      <c r="L1188" s="39">
        <f t="shared" si="165"/>
        <v>158823</v>
      </c>
      <c r="M1188" s="40">
        <f t="shared" si="170"/>
        <v>41526</v>
      </c>
      <c r="N1188" s="41" t="str">
        <f t="shared" ca="1" si="171"/>
        <v>Benjamim A</v>
      </c>
      <c r="O1188" s="41" t="str">
        <f t="shared" si="166"/>
        <v>M</v>
      </c>
      <c r="P1188" s="60" t="str">
        <f t="shared" si="167"/>
        <v>CFA-M</v>
      </c>
      <c r="Q1188" s="61"/>
    </row>
    <row r="1189" spans="1:17" ht="13">
      <c r="A1189" s="28">
        <v>276</v>
      </c>
      <c r="B1189" s="28">
        <v>132454</v>
      </c>
      <c r="C1189" s="129" t="s">
        <v>1189</v>
      </c>
      <c r="D1189" s="128" t="s">
        <v>97</v>
      </c>
      <c r="E1189" s="128" t="s">
        <v>146</v>
      </c>
      <c r="F1189" s="29">
        <v>35954</v>
      </c>
      <c r="G1189" s="56" t="str">
        <f t="shared" ca="1" si="168"/>
        <v>Sénior</v>
      </c>
      <c r="H1189" s="28">
        <f t="shared" ca="1" si="169"/>
        <v>22</v>
      </c>
      <c r="J1189" s="38" t="str">
        <f t="shared" si="163"/>
        <v>Diana Afonso</v>
      </c>
      <c r="K1189" s="39">
        <f t="shared" si="164"/>
        <v>276</v>
      </c>
      <c r="L1189" s="39">
        <f t="shared" si="165"/>
        <v>132454</v>
      </c>
      <c r="M1189" s="40">
        <f t="shared" si="170"/>
        <v>35954</v>
      </c>
      <c r="N1189" s="41" t="str">
        <f t="shared" ca="1" si="171"/>
        <v>Sénior</v>
      </c>
      <c r="O1189" s="41" t="str">
        <f t="shared" si="166"/>
        <v>F</v>
      </c>
      <c r="P1189" s="60" t="str">
        <f t="shared" si="167"/>
        <v>ADRAP</v>
      </c>
      <c r="Q1189" s="61"/>
    </row>
    <row r="1190" spans="1:17" ht="13">
      <c r="A1190" s="28">
        <v>277</v>
      </c>
      <c r="B1190" s="28">
        <v>131361</v>
      </c>
      <c r="C1190" s="129" t="s">
        <v>1188</v>
      </c>
      <c r="D1190" s="128" t="s">
        <v>97</v>
      </c>
      <c r="E1190" s="128" t="s">
        <v>146</v>
      </c>
      <c r="F1190" s="29">
        <v>36156</v>
      </c>
      <c r="G1190" s="56" t="str">
        <f t="shared" ca="1" si="168"/>
        <v>Sénior</v>
      </c>
      <c r="H1190" s="28">
        <f t="shared" ca="1" si="169"/>
        <v>22</v>
      </c>
      <c r="J1190" s="38" t="str">
        <f t="shared" si="163"/>
        <v>Rafaela Morgado</v>
      </c>
      <c r="K1190" s="39">
        <f t="shared" si="164"/>
        <v>277</v>
      </c>
      <c r="L1190" s="39">
        <f t="shared" si="165"/>
        <v>131361</v>
      </c>
      <c r="M1190" s="40">
        <f t="shared" si="170"/>
        <v>36156</v>
      </c>
      <c r="N1190" s="41" t="str">
        <f t="shared" ca="1" si="171"/>
        <v>Sénior</v>
      </c>
      <c r="O1190" s="41" t="str">
        <f t="shared" si="166"/>
        <v>F</v>
      </c>
      <c r="P1190" s="60" t="str">
        <f t="shared" si="167"/>
        <v>ADRAP</v>
      </c>
      <c r="Q1190" s="61"/>
    </row>
    <row r="1191" spans="1:17" ht="13">
      <c r="A1191" s="28">
        <v>857</v>
      </c>
      <c r="B1191" s="28">
        <v>123545</v>
      </c>
      <c r="C1191" s="129" t="s">
        <v>1198</v>
      </c>
      <c r="D1191" s="128" t="s">
        <v>97</v>
      </c>
      <c r="E1191" s="128" t="s">
        <v>145</v>
      </c>
      <c r="F1191" s="29">
        <v>35377</v>
      </c>
      <c r="G1191" s="56" t="str">
        <f t="shared" ca="1" si="168"/>
        <v>Sénior</v>
      </c>
      <c r="H1191" s="28">
        <f t="shared" ca="1" si="169"/>
        <v>24</v>
      </c>
      <c r="J1191" s="38" t="str">
        <f t="shared" si="163"/>
        <v>Leandro Gonçalves</v>
      </c>
      <c r="K1191" s="39">
        <f t="shared" si="164"/>
        <v>857</v>
      </c>
      <c r="L1191" s="39">
        <f t="shared" si="165"/>
        <v>123545</v>
      </c>
      <c r="M1191" s="40">
        <f t="shared" si="170"/>
        <v>35377</v>
      </c>
      <c r="N1191" s="41" t="str">
        <f t="shared" ca="1" si="171"/>
        <v>Sénior</v>
      </c>
      <c r="O1191" s="41" t="str">
        <f t="shared" si="166"/>
        <v>M</v>
      </c>
      <c r="P1191" s="60" t="str">
        <f t="shared" si="167"/>
        <v>ADRAP</v>
      </c>
      <c r="Q1191" s="61"/>
    </row>
    <row r="1192" spans="1:17" ht="13">
      <c r="A1192" s="28">
        <v>856</v>
      </c>
      <c r="B1192" s="28">
        <v>129421</v>
      </c>
      <c r="C1192" s="129" t="s">
        <v>1393</v>
      </c>
      <c r="D1192" s="128" t="s">
        <v>97</v>
      </c>
      <c r="E1192" s="128" t="s">
        <v>145</v>
      </c>
      <c r="F1192" s="29">
        <v>35494</v>
      </c>
      <c r="G1192" s="56" t="str">
        <f t="shared" ca="1" si="168"/>
        <v>Sénior</v>
      </c>
      <c r="H1192" s="28">
        <f t="shared" ca="1" si="169"/>
        <v>24</v>
      </c>
      <c r="J1192" s="38" t="str">
        <f t="shared" si="163"/>
        <v>Tiago Martins</v>
      </c>
      <c r="K1192" s="39">
        <f t="shared" si="164"/>
        <v>856</v>
      </c>
      <c r="L1192" s="39">
        <f t="shared" si="165"/>
        <v>129421</v>
      </c>
      <c r="M1192" s="40">
        <f t="shared" si="170"/>
        <v>35494</v>
      </c>
      <c r="N1192" s="41" t="str">
        <f t="shared" ca="1" si="171"/>
        <v>Sénior</v>
      </c>
      <c r="O1192" s="41" t="str">
        <f t="shared" si="166"/>
        <v>M</v>
      </c>
      <c r="P1192" s="60" t="str">
        <f t="shared" si="167"/>
        <v>ADRAP</v>
      </c>
      <c r="Q1192" s="61"/>
    </row>
    <row r="1193" spans="1:17" ht="13">
      <c r="A1193" s="28">
        <v>278</v>
      </c>
      <c r="B1193" s="28">
        <v>125262</v>
      </c>
      <c r="C1193" s="129" t="s">
        <v>1017</v>
      </c>
      <c r="D1193" s="128" t="s">
        <v>97</v>
      </c>
      <c r="E1193" s="128" t="s">
        <v>146</v>
      </c>
      <c r="F1193" s="29">
        <v>33168</v>
      </c>
      <c r="G1193" s="56" t="str">
        <f t="shared" ca="1" si="168"/>
        <v>Sénior</v>
      </c>
      <c r="H1193" s="28">
        <f t="shared" ca="1" si="169"/>
        <v>30</v>
      </c>
      <c r="J1193" s="38" t="str">
        <f t="shared" si="163"/>
        <v>Carla Macedo</v>
      </c>
      <c r="K1193" s="39">
        <f t="shared" si="164"/>
        <v>278</v>
      </c>
      <c r="L1193" s="39">
        <f t="shared" si="165"/>
        <v>125262</v>
      </c>
      <c r="M1193" s="40">
        <f t="shared" si="170"/>
        <v>33168</v>
      </c>
      <c r="N1193" s="41" t="str">
        <f t="shared" ca="1" si="171"/>
        <v>Sénior</v>
      </c>
      <c r="O1193" s="41" t="str">
        <f t="shared" si="166"/>
        <v>F</v>
      </c>
      <c r="P1193" s="60" t="str">
        <f t="shared" si="167"/>
        <v>ADRAP</v>
      </c>
      <c r="Q1193" s="61"/>
    </row>
    <row r="1194" spans="1:17" ht="13">
      <c r="A1194" s="28">
        <v>1881</v>
      </c>
      <c r="B1194" s="28">
        <v>144205</v>
      </c>
      <c r="C1194" s="129" t="s">
        <v>940</v>
      </c>
      <c r="D1194" s="128" t="s">
        <v>97</v>
      </c>
      <c r="E1194" s="128" t="s">
        <v>145</v>
      </c>
      <c r="F1194" s="29">
        <v>39393</v>
      </c>
      <c r="G1194" s="56" t="str">
        <f t="shared" ca="1" si="168"/>
        <v>Iniciado</v>
      </c>
      <c r="H1194" s="28">
        <f t="shared" ca="1" si="169"/>
        <v>13</v>
      </c>
      <c r="J1194" s="38" t="str">
        <f t="shared" si="163"/>
        <v>Rodrigo Sol</v>
      </c>
      <c r="K1194" s="39">
        <f t="shared" si="164"/>
        <v>1881</v>
      </c>
      <c r="L1194" s="39">
        <f t="shared" si="165"/>
        <v>144205</v>
      </c>
      <c r="M1194" s="40">
        <f t="shared" si="170"/>
        <v>39393</v>
      </c>
      <c r="N1194" s="41" t="str">
        <f t="shared" ca="1" si="171"/>
        <v>Iniciado</v>
      </c>
      <c r="O1194" s="41" t="str">
        <f t="shared" si="166"/>
        <v>M</v>
      </c>
      <c r="P1194" s="60" t="str">
        <f t="shared" si="167"/>
        <v>ADRAP</v>
      </c>
      <c r="Q1194" s="61"/>
    </row>
    <row r="1195" spans="1:17" ht="13">
      <c r="A1195" s="28">
        <v>1584</v>
      </c>
      <c r="B1195" s="28">
        <v>150337</v>
      </c>
      <c r="C1195" s="129" t="s">
        <v>1271</v>
      </c>
      <c r="D1195" s="128" t="s">
        <v>97</v>
      </c>
      <c r="E1195" s="128" t="s">
        <v>146</v>
      </c>
      <c r="F1195" s="29">
        <v>38485</v>
      </c>
      <c r="G1195" s="56" t="str">
        <f t="shared" ca="1" si="168"/>
        <v>Juvenil</v>
      </c>
      <c r="H1195" s="28">
        <f t="shared" ca="1" si="169"/>
        <v>15</v>
      </c>
      <c r="J1195" s="38" t="str">
        <f t="shared" si="163"/>
        <v>Laura Pereira</v>
      </c>
      <c r="K1195" s="39">
        <f t="shared" si="164"/>
        <v>1584</v>
      </c>
      <c r="L1195" s="39">
        <f t="shared" si="165"/>
        <v>150337</v>
      </c>
      <c r="M1195" s="40">
        <f t="shared" si="170"/>
        <v>38485</v>
      </c>
      <c r="N1195" s="41" t="str">
        <f t="shared" ca="1" si="171"/>
        <v>Juvenil</v>
      </c>
      <c r="O1195" s="41" t="str">
        <f t="shared" si="166"/>
        <v>F</v>
      </c>
      <c r="P1195" s="60" t="str">
        <f t="shared" si="167"/>
        <v>ADRAP</v>
      </c>
      <c r="Q1195" s="61"/>
    </row>
    <row r="1196" spans="1:17" ht="13">
      <c r="A1196" s="28">
        <v>1780</v>
      </c>
      <c r="B1196" s="28">
        <v>150504</v>
      </c>
      <c r="C1196" s="129" t="s">
        <v>1270</v>
      </c>
      <c r="D1196" s="128" t="s">
        <v>97</v>
      </c>
      <c r="E1196" s="128" t="s">
        <v>146</v>
      </c>
      <c r="F1196" s="29">
        <v>39358</v>
      </c>
      <c r="G1196" s="56" t="str">
        <f t="shared" ca="1" si="168"/>
        <v>Iniciado</v>
      </c>
      <c r="H1196" s="28">
        <f t="shared" ca="1" si="169"/>
        <v>13</v>
      </c>
      <c r="J1196" s="38" t="str">
        <f t="shared" si="163"/>
        <v>Ana Beatriz Pereira</v>
      </c>
      <c r="K1196" s="39">
        <f t="shared" si="164"/>
        <v>1780</v>
      </c>
      <c r="L1196" s="39">
        <f t="shared" si="165"/>
        <v>150504</v>
      </c>
      <c r="M1196" s="40">
        <f t="shared" si="170"/>
        <v>39358</v>
      </c>
      <c r="N1196" s="41" t="str">
        <f t="shared" ca="1" si="171"/>
        <v>Iniciado</v>
      </c>
      <c r="O1196" s="41" t="str">
        <f t="shared" si="166"/>
        <v>F</v>
      </c>
      <c r="P1196" s="60" t="str">
        <f t="shared" si="167"/>
        <v>ADRAP</v>
      </c>
      <c r="Q1196" s="61"/>
    </row>
    <row r="1197" spans="1:17" ht="13">
      <c r="A1197" s="28">
        <v>855</v>
      </c>
      <c r="B1197" s="28">
        <v>137231</v>
      </c>
      <c r="C1197" s="129" t="s">
        <v>1025</v>
      </c>
      <c r="D1197" s="128" t="s">
        <v>97</v>
      </c>
      <c r="E1197" s="128" t="s">
        <v>145</v>
      </c>
      <c r="F1197" s="29">
        <v>31402</v>
      </c>
      <c r="G1197" s="56" t="str">
        <f t="shared" ca="1" si="168"/>
        <v>V 35</v>
      </c>
      <c r="H1197" s="28">
        <f t="shared" ca="1" si="169"/>
        <v>35</v>
      </c>
      <c r="J1197" s="38" t="str">
        <f t="shared" si="163"/>
        <v>Ricardo Gonçalves</v>
      </c>
      <c r="K1197" s="39">
        <f t="shared" si="164"/>
        <v>855</v>
      </c>
      <c r="L1197" s="39">
        <f t="shared" si="165"/>
        <v>137231</v>
      </c>
      <c r="M1197" s="40">
        <f t="shared" si="170"/>
        <v>31402</v>
      </c>
      <c r="N1197" s="41" t="str">
        <f t="shared" ca="1" si="171"/>
        <v>V 35</v>
      </c>
      <c r="O1197" s="41" t="str">
        <f t="shared" si="166"/>
        <v>M</v>
      </c>
      <c r="P1197" s="60" t="str">
        <f t="shared" si="167"/>
        <v>ADRAP</v>
      </c>
      <c r="Q1197" s="61"/>
    </row>
    <row r="1198" spans="1:17" ht="13">
      <c r="A1198" s="28">
        <v>854</v>
      </c>
      <c r="B1198" s="28">
        <v>127315</v>
      </c>
      <c r="C1198" s="129" t="s">
        <v>303</v>
      </c>
      <c r="D1198" s="128" t="s">
        <v>97</v>
      </c>
      <c r="E1198" s="128" t="s">
        <v>145</v>
      </c>
      <c r="F1198" s="29">
        <v>30962</v>
      </c>
      <c r="G1198" s="56" t="str">
        <f t="shared" ca="1" si="168"/>
        <v>V 35</v>
      </c>
      <c r="H1198" s="28">
        <f t="shared" ca="1" si="169"/>
        <v>36</v>
      </c>
      <c r="J1198" s="38" t="str">
        <f t="shared" si="163"/>
        <v>Filipe Belo</v>
      </c>
      <c r="K1198" s="39">
        <f t="shared" si="164"/>
        <v>854</v>
      </c>
      <c r="L1198" s="39">
        <f t="shared" si="165"/>
        <v>127315</v>
      </c>
      <c r="M1198" s="40">
        <f t="shared" si="170"/>
        <v>30962</v>
      </c>
      <c r="N1198" s="41" t="str">
        <f t="shared" ca="1" si="171"/>
        <v>V 35</v>
      </c>
      <c r="O1198" s="41" t="str">
        <f t="shared" si="166"/>
        <v>M</v>
      </c>
      <c r="P1198" s="60" t="str">
        <f t="shared" si="167"/>
        <v>ADRAP</v>
      </c>
      <c r="Q1198" s="61"/>
    </row>
    <row r="1199" spans="1:17" ht="13">
      <c r="A1199" s="28">
        <v>1706</v>
      </c>
      <c r="B1199" s="28">
        <v>157323</v>
      </c>
      <c r="C1199" s="129" t="s">
        <v>1082</v>
      </c>
      <c r="D1199" s="128" t="s">
        <v>97</v>
      </c>
      <c r="E1199" s="128" t="s">
        <v>145</v>
      </c>
      <c r="F1199" s="29">
        <v>38079</v>
      </c>
      <c r="G1199" s="56" t="str">
        <f t="shared" ca="1" si="168"/>
        <v>Juvenil</v>
      </c>
      <c r="H1199" s="28">
        <f t="shared" ca="1" si="169"/>
        <v>17</v>
      </c>
      <c r="J1199" s="38" t="str">
        <f t="shared" si="163"/>
        <v>Christian Prell</v>
      </c>
      <c r="K1199" s="39">
        <f t="shared" si="164"/>
        <v>1706</v>
      </c>
      <c r="L1199" s="39">
        <f t="shared" si="165"/>
        <v>157323</v>
      </c>
      <c r="M1199" s="40">
        <f t="shared" si="170"/>
        <v>38079</v>
      </c>
      <c r="N1199" s="41" t="str">
        <f t="shared" ca="1" si="171"/>
        <v>Juvenil</v>
      </c>
      <c r="O1199" s="41" t="str">
        <f t="shared" si="166"/>
        <v>M</v>
      </c>
      <c r="P1199" s="60" t="str">
        <f t="shared" si="167"/>
        <v>ADRAP</v>
      </c>
      <c r="Q1199" s="61"/>
    </row>
    <row r="1200" spans="1:17" ht="13">
      <c r="A1200" s="28">
        <v>853</v>
      </c>
      <c r="B1200" s="28">
        <v>127088</v>
      </c>
      <c r="C1200" s="129" t="s">
        <v>288</v>
      </c>
      <c r="D1200" s="128" t="s">
        <v>97</v>
      </c>
      <c r="E1200" s="128" t="s">
        <v>145</v>
      </c>
      <c r="F1200" s="29">
        <v>25529</v>
      </c>
      <c r="G1200" s="56" t="str">
        <f t="shared" ca="1" si="168"/>
        <v>V 50</v>
      </c>
      <c r="H1200" s="28">
        <f t="shared" ca="1" si="169"/>
        <v>51</v>
      </c>
      <c r="J1200" s="38" t="str">
        <f t="shared" si="163"/>
        <v>Carlos Carichas</v>
      </c>
      <c r="K1200" s="39">
        <f t="shared" si="164"/>
        <v>853</v>
      </c>
      <c r="L1200" s="39">
        <f t="shared" si="165"/>
        <v>127088</v>
      </c>
      <c r="M1200" s="40">
        <f t="shared" si="170"/>
        <v>25529</v>
      </c>
      <c r="N1200" s="41" t="str">
        <f t="shared" ca="1" si="171"/>
        <v>V 50</v>
      </c>
      <c r="O1200" s="41" t="str">
        <f t="shared" si="166"/>
        <v>M</v>
      </c>
      <c r="P1200" s="60" t="str">
        <f t="shared" si="167"/>
        <v>ADRAP</v>
      </c>
      <c r="Q1200" s="61"/>
    </row>
    <row r="1201" spans="1:17" ht="13">
      <c r="A1201" s="28">
        <v>852</v>
      </c>
      <c r="B1201" s="28">
        <v>134982</v>
      </c>
      <c r="C1201" s="129" t="s">
        <v>533</v>
      </c>
      <c r="D1201" s="128" t="s">
        <v>97</v>
      </c>
      <c r="E1201" s="128" t="s">
        <v>145</v>
      </c>
      <c r="F1201" s="29">
        <v>27602</v>
      </c>
      <c r="G1201" s="56" t="str">
        <f t="shared" ca="1" si="168"/>
        <v>V 45</v>
      </c>
      <c r="H1201" s="28">
        <f t="shared" ca="1" si="169"/>
        <v>45</v>
      </c>
      <c r="J1201" s="38" t="str">
        <f t="shared" si="163"/>
        <v>Bruno Pereira</v>
      </c>
      <c r="K1201" s="39">
        <f t="shared" si="164"/>
        <v>852</v>
      </c>
      <c r="L1201" s="39">
        <f t="shared" si="165"/>
        <v>134982</v>
      </c>
      <c r="M1201" s="40">
        <f t="shared" si="170"/>
        <v>27602</v>
      </c>
      <c r="N1201" s="41" t="str">
        <f t="shared" ca="1" si="171"/>
        <v>V 45</v>
      </c>
      <c r="O1201" s="41" t="str">
        <f t="shared" si="166"/>
        <v>M</v>
      </c>
      <c r="P1201" s="60" t="str">
        <f t="shared" si="167"/>
        <v>ADRAP</v>
      </c>
      <c r="Q1201" s="61"/>
    </row>
    <row r="1202" spans="1:17" ht="13">
      <c r="A1202" s="28">
        <v>279</v>
      </c>
      <c r="B1202" s="28">
        <v>126834</v>
      </c>
      <c r="C1202" s="129" t="s">
        <v>178</v>
      </c>
      <c r="D1202" s="128" t="s">
        <v>143</v>
      </c>
      <c r="E1202" s="128" t="s">
        <v>146</v>
      </c>
      <c r="F1202" s="29">
        <v>29102</v>
      </c>
      <c r="G1202" s="56" t="str">
        <f t="shared" ca="1" si="168"/>
        <v>V 40</v>
      </c>
      <c r="H1202" s="28">
        <f t="shared" ca="1" si="169"/>
        <v>41</v>
      </c>
      <c r="J1202" s="38" t="str">
        <f t="shared" si="163"/>
        <v>Carla Neves</v>
      </c>
      <c r="K1202" s="39">
        <f t="shared" si="164"/>
        <v>279</v>
      </c>
      <c r="L1202" s="39">
        <f t="shared" si="165"/>
        <v>126834</v>
      </c>
      <c r="M1202" s="40">
        <f t="shared" si="170"/>
        <v>29102</v>
      </c>
      <c r="N1202" s="41" t="str">
        <f t="shared" ca="1" si="171"/>
        <v>V 40</v>
      </c>
      <c r="O1202" s="41" t="str">
        <f t="shared" si="166"/>
        <v>F</v>
      </c>
      <c r="P1202" s="60" t="str">
        <f t="shared" si="167"/>
        <v>CAFH</v>
      </c>
      <c r="Q1202" s="61"/>
    </row>
    <row r="1203" spans="1:17" ht="13">
      <c r="A1203" s="28">
        <v>2220</v>
      </c>
      <c r="B1203" s="28">
        <v>157778</v>
      </c>
      <c r="C1203" s="129" t="s">
        <v>1108</v>
      </c>
      <c r="D1203" s="128" t="s">
        <v>143</v>
      </c>
      <c r="E1203" s="128" t="s">
        <v>145</v>
      </c>
      <c r="F1203" s="29">
        <v>40523</v>
      </c>
      <c r="G1203" s="56" t="str">
        <f t="shared" ca="1" si="168"/>
        <v>Benjamim B</v>
      </c>
      <c r="H1203" s="28">
        <f t="shared" ca="1" si="169"/>
        <v>10</v>
      </c>
      <c r="J1203" s="38" t="str">
        <f t="shared" si="163"/>
        <v>Nayan Duarte</v>
      </c>
      <c r="K1203" s="39">
        <f t="shared" si="164"/>
        <v>2220</v>
      </c>
      <c r="L1203" s="39">
        <f t="shared" si="165"/>
        <v>157778</v>
      </c>
      <c r="M1203" s="40">
        <f t="shared" si="170"/>
        <v>40523</v>
      </c>
      <c r="N1203" s="41" t="str">
        <f t="shared" ca="1" si="171"/>
        <v>Benjamim B</v>
      </c>
      <c r="O1203" s="41" t="str">
        <f t="shared" si="166"/>
        <v>M</v>
      </c>
      <c r="P1203" s="60" t="str">
        <f t="shared" si="167"/>
        <v>CAFH</v>
      </c>
      <c r="Q1203" s="61"/>
    </row>
    <row r="1204" spans="1:17" ht="13">
      <c r="A1204" s="28">
        <v>2219</v>
      </c>
      <c r="B1204" s="28">
        <v>163324</v>
      </c>
      <c r="C1204" s="129" t="s">
        <v>1483</v>
      </c>
      <c r="D1204" s="128" t="s">
        <v>143</v>
      </c>
      <c r="E1204" s="128" t="s">
        <v>145</v>
      </c>
      <c r="F1204" s="29">
        <v>41876</v>
      </c>
      <c r="G1204" s="56" t="str">
        <f t="shared" ca="1" si="168"/>
        <v>Benjamim A</v>
      </c>
      <c r="H1204" s="28">
        <f t="shared" ca="1" si="169"/>
        <v>6</v>
      </c>
      <c r="J1204" s="38" t="str">
        <f t="shared" si="163"/>
        <v>Tiago Olival</v>
      </c>
      <c r="K1204" s="39">
        <f t="shared" si="164"/>
        <v>2219</v>
      </c>
      <c r="L1204" s="39">
        <f t="shared" si="165"/>
        <v>163324</v>
      </c>
      <c r="M1204" s="40">
        <f t="shared" si="170"/>
        <v>41876</v>
      </c>
      <c r="N1204" s="41" t="str">
        <f t="shared" ca="1" si="171"/>
        <v>Benjamim A</v>
      </c>
      <c r="O1204" s="41" t="str">
        <f t="shared" si="166"/>
        <v>M</v>
      </c>
      <c r="P1204" s="60" t="str">
        <f t="shared" si="167"/>
        <v>CAFH</v>
      </c>
      <c r="Q1204" s="61"/>
    </row>
    <row r="1205" spans="1:17" ht="13">
      <c r="A1205" s="28">
        <v>851</v>
      </c>
      <c r="B1205" s="28">
        <v>124780</v>
      </c>
      <c r="C1205" s="129" t="s">
        <v>1195</v>
      </c>
      <c r="D1205" s="128" t="s">
        <v>97</v>
      </c>
      <c r="E1205" s="128" t="s">
        <v>145</v>
      </c>
      <c r="F1205" s="29">
        <v>37010</v>
      </c>
      <c r="G1205" s="56" t="str">
        <f t="shared" ca="1" si="168"/>
        <v>sub 23</v>
      </c>
      <c r="H1205" s="28">
        <f t="shared" ca="1" si="169"/>
        <v>19</v>
      </c>
      <c r="J1205" s="38" t="str">
        <f t="shared" si="163"/>
        <v>Samuel Rios</v>
      </c>
      <c r="K1205" s="39">
        <f t="shared" si="164"/>
        <v>851</v>
      </c>
      <c r="L1205" s="39">
        <f t="shared" si="165"/>
        <v>124780</v>
      </c>
      <c r="M1205" s="40">
        <f t="shared" si="170"/>
        <v>37010</v>
      </c>
      <c r="N1205" s="41" t="str">
        <f t="shared" ca="1" si="171"/>
        <v>sub 23</v>
      </c>
      <c r="O1205" s="41" t="str">
        <f t="shared" si="166"/>
        <v>M</v>
      </c>
      <c r="P1205" s="60" t="str">
        <f t="shared" si="167"/>
        <v>ADRAP</v>
      </c>
      <c r="Q1205" s="61"/>
    </row>
    <row r="1206" spans="1:17" ht="13">
      <c r="A1206" s="28">
        <v>1705</v>
      </c>
      <c r="B1206" s="28">
        <v>124830</v>
      </c>
      <c r="C1206" s="129" t="s">
        <v>1218</v>
      </c>
      <c r="D1206" s="128" t="s">
        <v>123</v>
      </c>
      <c r="E1206" s="128" t="s">
        <v>145</v>
      </c>
      <c r="F1206" s="29">
        <v>37446</v>
      </c>
      <c r="G1206" s="56" t="str">
        <f t="shared" ca="1" si="168"/>
        <v>Júnior</v>
      </c>
      <c r="H1206" s="28">
        <f t="shared" ca="1" si="169"/>
        <v>18</v>
      </c>
      <c r="J1206" s="38" t="str">
        <f t="shared" si="163"/>
        <v>André Jerónimo</v>
      </c>
      <c r="K1206" s="39">
        <f t="shared" si="164"/>
        <v>1705</v>
      </c>
      <c r="L1206" s="39">
        <f t="shared" si="165"/>
        <v>124830</v>
      </c>
      <c r="M1206" s="40">
        <f t="shared" si="170"/>
        <v>37446</v>
      </c>
      <c r="N1206" s="41" t="str">
        <f t="shared" ca="1" si="171"/>
        <v>Júnior</v>
      </c>
      <c r="O1206" s="41" t="str">
        <f t="shared" si="166"/>
        <v>M</v>
      </c>
      <c r="P1206" s="60" t="str">
        <f t="shared" si="167"/>
        <v>AJS</v>
      </c>
      <c r="Q1206" s="61"/>
    </row>
    <row r="1207" spans="1:17" ht="13">
      <c r="A1207" s="28">
        <v>2088</v>
      </c>
      <c r="B1207" s="28">
        <v>163556</v>
      </c>
      <c r="C1207" s="129" t="s">
        <v>1636</v>
      </c>
      <c r="D1207" s="128" t="s">
        <v>1646</v>
      </c>
      <c r="E1207" s="128" t="s">
        <v>146</v>
      </c>
      <c r="F1207" s="29">
        <v>41796</v>
      </c>
      <c r="G1207" s="56" t="str">
        <f t="shared" ca="1" si="168"/>
        <v>Benjamim A</v>
      </c>
      <c r="H1207" s="28">
        <f t="shared" ca="1" si="169"/>
        <v>6</v>
      </c>
      <c r="J1207" s="38" t="str">
        <f t="shared" si="163"/>
        <v>Carolina Y. Rodrigues</v>
      </c>
      <c r="K1207" s="39">
        <f t="shared" si="164"/>
        <v>2088</v>
      </c>
      <c r="L1207" s="39">
        <f t="shared" si="165"/>
        <v>163556</v>
      </c>
      <c r="M1207" s="40">
        <f t="shared" si="170"/>
        <v>41796</v>
      </c>
      <c r="N1207" s="41" t="str">
        <f t="shared" ca="1" si="171"/>
        <v>Benjamim A</v>
      </c>
      <c r="O1207" s="41" t="str">
        <f t="shared" si="166"/>
        <v>F</v>
      </c>
      <c r="P1207" s="60" t="str">
        <f t="shared" si="167"/>
        <v>AAM-M</v>
      </c>
      <c r="Q1207" s="61"/>
    </row>
    <row r="1208" spans="1:17" ht="13">
      <c r="A1208" s="28">
        <v>2089</v>
      </c>
      <c r="B1208" s="28">
        <v>163852</v>
      </c>
      <c r="C1208" s="129" t="s">
        <v>1421</v>
      </c>
      <c r="D1208" s="128" t="s">
        <v>124</v>
      </c>
      <c r="E1208" s="128" t="s">
        <v>146</v>
      </c>
      <c r="F1208" s="29">
        <v>40790</v>
      </c>
      <c r="G1208" s="56" t="str">
        <f t="shared" ca="1" si="168"/>
        <v>Benjamim B</v>
      </c>
      <c r="H1208" s="28">
        <f t="shared" ca="1" si="169"/>
        <v>9</v>
      </c>
      <c r="J1208" s="38" t="str">
        <f t="shared" si="163"/>
        <v>Júlia Soares</v>
      </c>
      <c r="K1208" s="39">
        <f t="shared" si="164"/>
        <v>2089</v>
      </c>
      <c r="L1208" s="39">
        <f t="shared" si="165"/>
        <v>163852</v>
      </c>
      <c r="M1208" s="40">
        <f t="shared" si="170"/>
        <v>40790</v>
      </c>
      <c r="N1208" s="41" t="str">
        <f t="shared" ca="1" si="171"/>
        <v>Benjamim B</v>
      </c>
      <c r="O1208" s="41" t="str">
        <f t="shared" si="166"/>
        <v>F</v>
      </c>
      <c r="P1208" s="60" t="str">
        <f t="shared" si="167"/>
        <v>CSM</v>
      </c>
      <c r="Q1208" s="61"/>
    </row>
    <row r="1209" spans="1:17" ht="13">
      <c r="A1209" s="28">
        <v>850</v>
      </c>
      <c r="B1209" s="28">
        <v>135280</v>
      </c>
      <c r="C1209" s="129" t="s">
        <v>1383</v>
      </c>
      <c r="D1209" s="128" t="s">
        <v>125</v>
      </c>
      <c r="E1209" s="128" t="s">
        <v>145</v>
      </c>
      <c r="F1209" s="29">
        <v>26404</v>
      </c>
      <c r="G1209" s="56" t="str">
        <f t="shared" ca="1" si="168"/>
        <v>V 45</v>
      </c>
      <c r="H1209" s="28">
        <f t="shared" ca="1" si="169"/>
        <v>49</v>
      </c>
      <c r="J1209" s="38" t="str">
        <f t="shared" si="163"/>
        <v>Énio Freitas</v>
      </c>
      <c r="K1209" s="39">
        <f t="shared" si="164"/>
        <v>850</v>
      </c>
      <c r="L1209" s="39">
        <f t="shared" si="165"/>
        <v>135280</v>
      </c>
      <c r="M1209" s="40">
        <f t="shared" si="170"/>
        <v>26404</v>
      </c>
      <c r="N1209" s="41" t="str">
        <f t="shared" ca="1" si="171"/>
        <v>V 45</v>
      </c>
      <c r="O1209" s="41" t="str">
        <f t="shared" si="166"/>
        <v>M</v>
      </c>
      <c r="P1209" s="60" t="str">
        <f t="shared" si="167"/>
        <v>GDE</v>
      </c>
      <c r="Q1209" s="61"/>
    </row>
    <row r="1210" spans="1:17" ht="13">
      <c r="A1210" s="28">
        <v>849</v>
      </c>
      <c r="B1210" s="28">
        <v>126977</v>
      </c>
      <c r="C1210" s="129" t="s">
        <v>1520</v>
      </c>
      <c r="D1210" s="128" t="s">
        <v>125</v>
      </c>
      <c r="E1210" s="128" t="s">
        <v>145</v>
      </c>
      <c r="F1210" s="29">
        <v>24669</v>
      </c>
      <c r="G1210" s="56" t="str">
        <f t="shared" ca="1" si="168"/>
        <v>V 50</v>
      </c>
      <c r="H1210" s="28">
        <f t="shared" ca="1" si="169"/>
        <v>53</v>
      </c>
      <c r="J1210" s="38" t="str">
        <f t="shared" si="163"/>
        <v>Mário Abreu</v>
      </c>
      <c r="K1210" s="39">
        <f t="shared" si="164"/>
        <v>849</v>
      </c>
      <c r="L1210" s="39">
        <f t="shared" si="165"/>
        <v>126977</v>
      </c>
      <c r="M1210" s="40">
        <f t="shared" si="170"/>
        <v>24669</v>
      </c>
      <c r="N1210" s="41" t="str">
        <f t="shared" ca="1" si="171"/>
        <v>V 50</v>
      </c>
      <c r="O1210" s="41" t="str">
        <f t="shared" si="166"/>
        <v>M</v>
      </c>
      <c r="P1210" s="60" t="str">
        <f t="shared" si="167"/>
        <v>GDE</v>
      </c>
      <c r="Q1210" s="61"/>
    </row>
    <row r="1211" spans="1:17" ht="13">
      <c r="A1211" s="28">
        <v>1587</v>
      </c>
      <c r="B1211" s="28">
        <v>131221</v>
      </c>
      <c r="C1211" s="129" t="s">
        <v>1317</v>
      </c>
      <c r="D1211" s="128" t="s">
        <v>125</v>
      </c>
      <c r="E1211" s="128" t="s">
        <v>146</v>
      </c>
      <c r="F1211" s="29">
        <v>37465</v>
      </c>
      <c r="G1211" s="56" t="str">
        <f t="shared" ca="1" si="168"/>
        <v>Júnior</v>
      </c>
      <c r="H1211" s="28">
        <f t="shared" ca="1" si="169"/>
        <v>18</v>
      </c>
      <c r="J1211" s="38" t="str">
        <f t="shared" si="163"/>
        <v>Ana Cris. Ferreira</v>
      </c>
      <c r="K1211" s="39">
        <f t="shared" si="164"/>
        <v>1587</v>
      </c>
      <c r="L1211" s="39">
        <f t="shared" si="165"/>
        <v>131221</v>
      </c>
      <c r="M1211" s="40">
        <f t="shared" si="170"/>
        <v>37465</v>
      </c>
      <c r="N1211" s="41" t="str">
        <f t="shared" ca="1" si="171"/>
        <v>Júnior</v>
      </c>
      <c r="O1211" s="41" t="str">
        <f t="shared" si="166"/>
        <v>F</v>
      </c>
      <c r="P1211" s="60" t="str">
        <f t="shared" si="167"/>
        <v>GDE</v>
      </c>
      <c r="Q1211" s="61"/>
    </row>
    <row r="1212" spans="1:17" ht="13">
      <c r="A1212" s="28">
        <v>1701</v>
      </c>
      <c r="B1212" s="28">
        <v>130573</v>
      </c>
      <c r="C1212" s="129" t="s">
        <v>969</v>
      </c>
      <c r="D1212" s="128" t="s">
        <v>125</v>
      </c>
      <c r="E1212" s="128" t="s">
        <v>145</v>
      </c>
      <c r="F1212" s="29">
        <v>37328</v>
      </c>
      <c r="G1212" s="56" t="str">
        <f t="shared" ca="1" si="168"/>
        <v>Júnior</v>
      </c>
      <c r="H1212" s="28">
        <f t="shared" ca="1" si="169"/>
        <v>19</v>
      </c>
      <c r="J1212" s="38" t="str">
        <f t="shared" si="163"/>
        <v>Moisés Faria</v>
      </c>
      <c r="K1212" s="39">
        <f t="shared" si="164"/>
        <v>1701</v>
      </c>
      <c r="L1212" s="39">
        <f t="shared" si="165"/>
        <v>130573</v>
      </c>
      <c r="M1212" s="40">
        <f t="shared" si="170"/>
        <v>37328</v>
      </c>
      <c r="N1212" s="41" t="str">
        <f t="shared" ca="1" si="171"/>
        <v>Júnior</v>
      </c>
      <c r="O1212" s="41" t="str">
        <f t="shared" si="166"/>
        <v>M</v>
      </c>
      <c r="P1212" s="60" t="str">
        <f t="shared" si="167"/>
        <v>GDE</v>
      </c>
      <c r="Q1212" s="61"/>
    </row>
    <row r="1213" spans="1:17" ht="13">
      <c r="A1213" s="28">
        <v>1586</v>
      </c>
      <c r="B1213" s="28">
        <v>130569</v>
      </c>
      <c r="C1213" s="129" t="s">
        <v>997</v>
      </c>
      <c r="D1213" s="128" t="s">
        <v>125</v>
      </c>
      <c r="E1213" s="128" t="s">
        <v>146</v>
      </c>
      <c r="F1213" s="29">
        <v>38176</v>
      </c>
      <c r="G1213" s="56" t="str">
        <f t="shared" ca="1" si="168"/>
        <v>Juvenil</v>
      </c>
      <c r="H1213" s="28">
        <f t="shared" ca="1" si="169"/>
        <v>16</v>
      </c>
      <c r="J1213" s="38" t="str">
        <f t="shared" si="163"/>
        <v>Marta Faria</v>
      </c>
      <c r="K1213" s="39">
        <f t="shared" si="164"/>
        <v>1586</v>
      </c>
      <c r="L1213" s="39">
        <f t="shared" si="165"/>
        <v>130569</v>
      </c>
      <c r="M1213" s="40">
        <f t="shared" si="170"/>
        <v>38176</v>
      </c>
      <c r="N1213" s="41" t="str">
        <f t="shared" ca="1" si="171"/>
        <v>Juvenil</v>
      </c>
      <c r="O1213" s="41" t="str">
        <f t="shared" si="166"/>
        <v>F</v>
      </c>
      <c r="P1213" s="60" t="str">
        <f t="shared" si="167"/>
        <v>GDE</v>
      </c>
      <c r="Q1213" s="61"/>
    </row>
    <row r="1214" spans="1:17" ht="13">
      <c r="A1214" s="28">
        <v>1704</v>
      </c>
      <c r="B1214" s="28">
        <v>126981</v>
      </c>
      <c r="C1214" s="129" t="s">
        <v>1016</v>
      </c>
      <c r="D1214" s="128" t="s">
        <v>125</v>
      </c>
      <c r="E1214" s="128" t="s">
        <v>145</v>
      </c>
      <c r="F1214" s="29">
        <v>38705</v>
      </c>
      <c r="G1214" s="56" t="str">
        <f t="shared" ca="1" si="168"/>
        <v>Juvenil</v>
      </c>
      <c r="H1214" s="28">
        <f t="shared" ca="1" si="169"/>
        <v>15</v>
      </c>
      <c r="J1214" s="38" t="str">
        <f t="shared" si="163"/>
        <v>Lucas Faria</v>
      </c>
      <c r="K1214" s="39">
        <f t="shared" si="164"/>
        <v>1704</v>
      </c>
      <c r="L1214" s="39">
        <f t="shared" si="165"/>
        <v>126981</v>
      </c>
      <c r="M1214" s="40">
        <f t="shared" si="170"/>
        <v>38705</v>
      </c>
      <c r="N1214" s="41" t="str">
        <f t="shared" ca="1" si="171"/>
        <v>Juvenil</v>
      </c>
      <c r="O1214" s="41" t="str">
        <f t="shared" si="166"/>
        <v>M</v>
      </c>
      <c r="P1214" s="60" t="str">
        <f t="shared" si="167"/>
        <v>GDE</v>
      </c>
      <c r="Q1214" s="61"/>
    </row>
    <row r="1215" spans="1:17" ht="13">
      <c r="A1215" s="28">
        <v>280</v>
      </c>
      <c r="B1215" s="28">
        <v>125892</v>
      </c>
      <c r="C1215" s="129" t="s">
        <v>101</v>
      </c>
      <c r="D1215" s="128" t="s">
        <v>125</v>
      </c>
      <c r="E1215" s="128" t="s">
        <v>146</v>
      </c>
      <c r="F1215" s="29">
        <v>32842</v>
      </c>
      <c r="G1215" s="56" t="str">
        <f t="shared" ca="1" si="168"/>
        <v>Sénior</v>
      </c>
      <c r="H1215" s="28">
        <f t="shared" ca="1" si="169"/>
        <v>31</v>
      </c>
      <c r="J1215" s="38" t="str">
        <f t="shared" si="163"/>
        <v>Camila João</v>
      </c>
      <c r="K1215" s="39">
        <f t="shared" si="164"/>
        <v>280</v>
      </c>
      <c r="L1215" s="39">
        <f t="shared" si="165"/>
        <v>125892</v>
      </c>
      <c r="M1215" s="40">
        <f t="shared" si="170"/>
        <v>32842</v>
      </c>
      <c r="N1215" s="41" t="str">
        <f t="shared" ca="1" si="171"/>
        <v>Sénior</v>
      </c>
      <c r="O1215" s="41" t="str">
        <f t="shared" si="166"/>
        <v>F</v>
      </c>
      <c r="P1215" s="60" t="str">
        <f t="shared" si="167"/>
        <v>GDE</v>
      </c>
      <c r="Q1215" s="61"/>
    </row>
    <row r="1216" spans="1:17" ht="13">
      <c r="A1216" s="28">
        <v>1702</v>
      </c>
      <c r="B1216" s="28">
        <v>128493</v>
      </c>
      <c r="C1216" s="129" t="s">
        <v>1333</v>
      </c>
      <c r="D1216" s="128" t="s">
        <v>125</v>
      </c>
      <c r="E1216" s="128" t="s">
        <v>145</v>
      </c>
      <c r="F1216" s="29">
        <v>37478</v>
      </c>
      <c r="G1216" s="56" t="str">
        <f t="shared" ca="1" si="168"/>
        <v>Júnior</v>
      </c>
      <c r="H1216" s="28">
        <f t="shared" ca="1" si="169"/>
        <v>18</v>
      </c>
      <c r="J1216" s="38" t="str">
        <f t="shared" si="163"/>
        <v>Diogo M. Freitas</v>
      </c>
      <c r="K1216" s="39">
        <f t="shared" si="164"/>
        <v>1702</v>
      </c>
      <c r="L1216" s="39">
        <f t="shared" si="165"/>
        <v>128493</v>
      </c>
      <c r="M1216" s="40">
        <f t="shared" si="170"/>
        <v>37478</v>
      </c>
      <c r="N1216" s="41" t="str">
        <f t="shared" ca="1" si="171"/>
        <v>Júnior</v>
      </c>
      <c r="O1216" s="41" t="str">
        <f t="shared" si="166"/>
        <v>M</v>
      </c>
      <c r="P1216" s="60" t="str">
        <f t="shared" si="167"/>
        <v>GDE</v>
      </c>
      <c r="Q1216" s="61"/>
    </row>
    <row r="1217" spans="1:17" ht="13">
      <c r="A1217" s="28">
        <v>1585</v>
      </c>
      <c r="B1217" s="28">
        <v>142899</v>
      </c>
      <c r="C1217" s="129" t="s">
        <v>1325</v>
      </c>
      <c r="D1217" s="128" t="s">
        <v>125</v>
      </c>
      <c r="E1217" s="128" t="s">
        <v>146</v>
      </c>
      <c r="F1217" s="29">
        <v>38167</v>
      </c>
      <c r="G1217" s="56" t="str">
        <f t="shared" ca="1" si="168"/>
        <v>Juvenil</v>
      </c>
      <c r="H1217" s="28">
        <f t="shared" ca="1" si="169"/>
        <v>16</v>
      </c>
      <c r="J1217" s="38" t="str">
        <f t="shared" si="163"/>
        <v>Francisca Pestana</v>
      </c>
      <c r="K1217" s="39">
        <f t="shared" si="164"/>
        <v>1585</v>
      </c>
      <c r="L1217" s="39">
        <f t="shared" si="165"/>
        <v>142899</v>
      </c>
      <c r="M1217" s="40">
        <f t="shared" si="170"/>
        <v>38167</v>
      </c>
      <c r="N1217" s="41" t="str">
        <f t="shared" ca="1" si="171"/>
        <v>Juvenil</v>
      </c>
      <c r="O1217" s="41" t="str">
        <f t="shared" si="166"/>
        <v>F</v>
      </c>
      <c r="P1217" s="60" t="str">
        <f t="shared" si="167"/>
        <v>GDE</v>
      </c>
      <c r="Q1217" s="61"/>
    </row>
    <row r="1218" spans="1:17" ht="13">
      <c r="A1218" s="28">
        <v>1703</v>
      </c>
      <c r="B1218" s="28">
        <v>159953</v>
      </c>
      <c r="C1218" s="129" t="s">
        <v>1327</v>
      </c>
      <c r="D1218" s="128" t="s">
        <v>125</v>
      </c>
      <c r="E1218" s="128" t="s">
        <v>145</v>
      </c>
      <c r="F1218" s="29">
        <v>37794</v>
      </c>
      <c r="G1218" s="56" t="str">
        <f t="shared" ca="1" si="168"/>
        <v>Júnior</v>
      </c>
      <c r="H1218" s="28">
        <f t="shared" ca="1" si="169"/>
        <v>17</v>
      </c>
      <c r="J1218" s="38" t="str">
        <f t="shared" ref="J1218:J1281" si="172">C1218</f>
        <v>Rodrigo Ornelas</v>
      </c>
      <c r="K1218" s="39">
        <f t="shared" ref="K1218:K1281" si="173">A1218</f>
        <v>1703</v>
      </c>
      <c r="L1218" s="39">
        <f t="shared" ref="L1218:L1281" si="174">B1218</f>
        <v>159953</v>
      </c>
      <c r="M1218" s="40">
        <f t="shared" si="170"/>
        <v>37794</v>
      </c>
      <c r="N1218" s="41" t="str">
        <f t="shared" ca="1" si="171"/>
        <v>Júnior</v>
      </c>
      <c r="O1218" s="41" t="str">
        <f t="shared" ref="O1218:O1281" si="175">E1218</f>
        <v>M</v>
      </c>
      <c r="P1218" s="60" t="str">
        <f t="shared" ref="P1218:P1281" si="176">D1218</f>
        <v>GDE</v>
      </c>
      <c r="Q1218" s="61"/>
    </row>
    <row r="1219" spans="1:17" ht="13">
      <c r="A1219" s="28">
        <v>842</v>
      </c>
      <c r="B1219" s="28">
        <v>146679</v>
      </c>
      <c r="C1219" s="129" t="s">
        <v>612</v>
      </c>
      <c r="D1219" s="128" t="s">
        <v>510</v>
      </c>
      <c r="E1219" s="128" t="s">
        <v>145</v>
      </c>
      <c r="F1219" s="29">
        <v>24164</v>
      </c>
      <c r="G1219" s="5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B",IF(YEAR(TODAY())-YEAR(F1219)&lt;14,"Infantil",IF(YEAR(TODAY())-YEAR(F1219)&lt;16,"Iniciado",IF(YEAR(TODAY())-YEAR(F1219)&lt;18,"Juvenil",IF(YEAR(TODAY())-YEAR(F1219)&lt;20,"Júnior",IF(YEAR(TODAY())-YEAR(F1219)&lt;23,"sub 23",IF(ROUNDDOWN(INT(TODAY()-F1219)/365.25,0)&lt;35,"Sénior",IF(ROUNDDOWN(INT(TODAY()-F1219)/365.25,0)&lt;40,"V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65",IF(ROUNDDOWN(INT(TODAY()-F1219)/365.25,0)&lt;75,"V 70",IF(ROUNDDOWN(INT(TODAY()-F1219)/365.25,0)&lt;80,"V 75",IF(ROUNDDOWN(INT(TODAY()-F1219)/365.25,0)&lt;85,"V 80",IF(ROUNDDOWN(INT(TODAY()-F1219)/365.25,0)&lt;90,"V 85",IF(ROUNDDOWN(INT(TODAY()-F1219)/365.25,0)&lt;95,"V 90",IF(ROUNDDOWN(INT(TODAY()-F1219)/365.25,0)&lt;100,"V 95",IF(ROUNDDOWN(INT(TODAY()-F1219)/365.25,0)&gt;=100,"V 100",""))))))))))))))))))))))),"")</f>
        <v>V 55</v>
      </c>
      <c r="H1219" s="28">
        <f t="shared" ref="H1219:H1282" ca="1" si="178">IFERROR(IF($A1219&gt;0,ROUNDDOWN(INT(TODAY()-F1219)/365.25,0),""),"")</f>
        <v>55</v>
      </c>
      <c r="J1219" s="38" t="str">
        <f t="shared" si="172"/>
        <v>Miguel A. Ferreira</v>
      </c>
      <c r="K1219" s="39">
        <f t="shared" si="173"/>
        <v>842</v>
      </c>
      <c r="L1219" s="39">
        <f t="shared" si="174"/>
        <v>146679</v>
      </c>
      <c r="M1219" s="40">
        <f t="shared" ref="M1219:M1282" si="179">F1219</f>
        <v>24164</v>
      </c>
      <c r="N1219" s="41" t="str">
        <f t="shared" ref="N1219:N1282" ca="1" si="180">G1219</f>
        <v>V 55</v>
      </c>
      <c r="O1219" s="41" t="str">
        <f t="shared" si="175"/>
        <v>M</v>
      </c>
      <c r="P1219" s="60" t="str">
        <f t="shared" si="176"/>
        <v>CDEPC</v>
      </c>
      <c r="Q1219" s="61"/>
    </row>
    <row r="1220" spans="1:17" ht="13">
      <c r="A1220" s="28">
        <v>841</v>
      </c>
      <c r="B1220" s="28">
        <v>154536</v>
      </c>
      <c r="C1220" s="129" t="s">
        <v>1456</v>
      </c>
      <c r="D1220" s="128" t="s">
        <v>510</v>
      </c>
      <c r="E1220" s="128" t="s">
        <v>145</v>
      </c>
      <c r="F1220" s="29">
        <v>28125</v>
      </c>
      <c r="G1220" s="56" t="str">
        <f t="shared" ca="1" si="177"/>
        <v>V 40</v>
      </c>
      <c r="H1220" s="28">
        <f t="shared" ca="1" si="178"/>
        <v>44</v>
      </c>
      <c r="J1220" s="38" t="str">
        <f t="shared" si="172"/>
        <v>Manuel Ferreira</v>
      </c>
      <c r="K1220" s="39">
        <f t="shared" si="173"/>
        <v>841</v>
      </c>
      <c r="L1220" s="39">
        <f t="shared" si="174"/>
        <v>154536</v>
      </c>
      <c r="M1220" s="40">
        <f t="shared" si="179"/>
        <v>28125</v>
      </c>
      <c r="N1220" s="41" t="str">
        <f t="shared" ca="1" si="180"/>
        <v>V 40</v>
      </c>
      <c r="O1220" s="41" t="str">
        <f t="shared" si="175"/>
        <v>M</v>
      </c>
      <c r="P1220" s="60" t="str">
        <f t="shared" si="176"/>
        <v>CDEPC</v>
      </c>
      <c r="Q1220" s="61"/>
    </row>
    <row r="1221" spans="1:17" ht="13">
      <c r="A1221" s="28">
        <v>846</v>
      </c>
      <c r="B1221" s="28">
        <v>140469</v>
      </c>
      <c r="C1221" s="129" t="s">
        <v>499</v>
      </c>
      <c r="D1221" s="128" t="s">
        <v>510</v>
      </c>
      <c r="E1221" s="128" t="s">
        <v>145</v>
      </c>
      <c r="F1221" s="29">
        <v>26485</v>
      </c>
      <c r="G1221" s="56" t="str">
        <f t="shared" ca="1" si="177"/>
        <v>V 45</v>
      </c>
      <c r="H1221" s="28">
        <f t="shared" ca="1" si="178"/>
        <v>48</v>
      </c>
      <c r="J1221" s="38" t="str">
        <f t="shared" si="172"/>
        <v>Gil Freitas</v>
      </c>
      <c r="K1221" s="39">
        <f t="shared" si="173"/>
        <v>846</v>
      </c>
      <c r="L1221" s="39">
        <f t="shared" si="174"/>
        <v>140469</v>
      </c>
      <c r="M1221" s="40">
        <f t="shared" si="179"/>
        <v>26485</v>
      </c>
      <c r="N1221" s="41" t="str">
        <f t="shared" ca="1" si="180"/>
        <v>V 45</v>
      </c>
      <c r="O1221" s="41" t="str">
        <f t="shared" si="175"/>
        <v>M</v>
      </c>
      <c r="P1221" s="60" t="str">
        <f t="shared" si="176"/>
        <v>CDEPC</v>
      </c>
      <c r="Q1221" s="61"/>
    </row>
    <row r="1222" spans="1:17" ht="13">
      <c r="A1222" s="28">
        <v>845</v>
      </c>
      <c r="B1222" s="28">
        <v>146059</v>
      </c>
      <c r="C1222" s="129" t="s">
        <v>1265</v>
      </c>
      <c r="D1222" s="128" t="s">
        <v>510</v>
      </c>
      <c r="E1222" s="128" t="s">
        <v>145</v>
      </c>
      <c r="F1222" s="29">
        <v>29024</v>
      </c>
      <c r="G1222" s="56" t="str">
        <f t="shared" ca="1" si="177"/>
        <v>V 40</v>
      </c>
      <c r="H1222" s="28">
        <f t="shared" ca="1" si="178"/>
        <v>41</v>
      </c>
      <c r="J1222" s="38" t="str">
        <f t="shared" si="172"/>
        <v>Carlos Freire</v>
      </c>
      <c r="K1222" s="39">
        <f t="shared" si="173"/>
        <v>845</v>
      </c>
      <c r="L1222" s="39">
        <f t="shared" si="174"/>
        <v>146059</v>
      </c>
      <c r="M1222" s="40">
        <f t="shared" si="179"/>
        <v>29024</v>
      </c>
      <c r="N1222" s="41" t="str">
        <f t="shared" ca="1" si="180"/>
        <v>V 40</v>
      </c>
      <c r="O1222" s="41" t="str">
        <f t="shared" si="175"/>
        <v>M</v>
      </c>
      <c r="P1222" s="60" t="str">
        <f t="shared" si="176"/>
        <v>CDEPC</v>
      </c>
      <c r="Q1222" s="61"/>
    </row>
    <row r="1223" spans="1:17" ht="13">
      <c r="A1223" s="28">
        <v>844</v>
      </c>
      <c r="B1223" s="28">
        <v>146459</v>
      </c>
      <c r="C1223" s="129" t="s">
        <v>611</v>
      </c>
      <c r="D1223" s="128" t="s">
        <v>510</v>
      </c>
      <c r="E1223" s="128" t="s">
        <v>145</v>
      </c>
      <c r="F1223" s="29">
        <v>27767</v>
      </c>
      <c r="G1223" s="56" t="str">
        <f t="shared" ca="1" si="177"/>
        <v>V 45</v>
      </c>
      <c r="H1223" s="28">
        <f t="shared" ca="1" si="178"/>
        <v>45</v>
      </c>
      <c r="J1223" s="38" t="str">
        <f t="shared" si="172"/>
        <v>Alcino Pereira</v>
      </c>
      <c r="K1223" s="39">
        <f t="shared" si="173"/>
        <v>844</v>
      </c>
      <c r="L1223" s="39">
        <f t="shared" si="174"/>
        <v>146459</v>
      </c>
      <c r="M1223" s="40">
        <f t="shared" si="179"/>
        <v>27767</v>
      </c>
      <c r="N1223" s="41" t="str">
        <f t="shared" ca="1" si="180"/>
        <v>V 45</v>
      </c>
      <c r="O1223" s="41" t="str">
        <f t="shared" si="175"/>
        <v>M</v>
      </c>
      <c r="P1223" s="60" t="str">
        <f t="shared" si="176"/>
        <v>CDEPC</v>
      </c>
      <c r="Q1223" s="61"/>
    </row>
    <row r="1224" spans="1:17" ht="13">
      <c r="A1224" s="28">
        <v>843</v>
      </c>
      <c r="B1224" s="28">
        <v>140451</v>
      </c>
      <c r="C1224" s="129" t="s">
        <v>500</v>
      </c>
      <c r="D1224" s="128" t="s">
        <v>510</v>
      </c>
      <c r="E1224" s="128" t="s">
        <v>145</v>
      </c>
      <c r="F1224" s="29">
        <v>27811</v>
      </c>
      <c r="G1224" s="56" t="str">
        <f t="shared" ca="1" si="177"/>
        <v>V 45</v>
      </c>
      <c r="H1224" s="28">
        <f t="shared" ca="1" si="178"/>
        <v>45</v>
      </c>
      <c r="J1224" s="38" t="str">
        <f t="shared" si="172"/>
        <v>Filipe Barreiro</v>
      </c>
      <c r="K1224" s="39">
        <f t="shared" si="173"/>
        <v>843</v>
      </c>
      <c r="L1224" s="39">
        <f t="shared" si="174"/>
        <v>140451</v>
      </c>
      <c r="M1224" s="40">
        <f t="shared" si="179"/>
        <v>27811</v>
      </c>
      <c r="N1224" s="41" t="str">
        <f t="shared" ca="1" si="180"/>
        <v>V 45</v>
      </c>
      <c r="O1224" s="41" t="str">
        <f t="shared" si="175"/>
        <v>M</v>
      </c>
      <c r="P1224" s="60" t="str">
        <f t="shared" si="176"/>
        <v>CDEPC</v>
      </c>
      <c r="Q1224" s="61"/>
    </row>
    <row r="1225" spans="1:17" ht="13">
      <c r="A1225" s="28">
        <v>840</v>
      </c>
      <c r="B1225" s="28">
        <v>124698</v>
      </c>
      <c r="C1225" s="129" t="s">
        <v>236</v>
      </c>
      <c r="D1225" s="128" t="s">
        <v>153</v>
      </c>
      <c r="E1225" s="128" t="s">
        <v>145</v>
      </c>
      <c r="F1225" s="29">
        <v>29407</v>
      </c>
      <c r="G1225" s="56" t="str">
        <f t="shared" ca="1" si="177"/>
        <v>V 40</v>
      </c>
      <c r="H1225" s="28">
        <f t="shared" ca="1" si="178"/>
        <v>40</v>
      </c>
      <c r="J1225" s="38" t="str">
        <f t="shared" si="172"/>
        <v>Gonçalo F. Vieira</v>
      </c>
      <c r="K1225" s="39">
        <f t="shared" si="173"/>
        <v>840</v>
      </c>
      <c r="L1225" s="39">
        <f t="shared" si="174"/>
        <v>124698</v>
      </c>
      <c r="M1225" s="40">
        <f t="shared" si="179"/>
        <v>29407</v>
      </c>
      <c r="N1225" s="41" t="str">
        <f t="shared" ca="1" si="180"/>
        <v>V 40</v>
      </c>
      <c r="O1225" s="41" t="str">
        <f t="shared" si="175"/>
        <v>M</v>
      </c>
      <c r="P1225" s="60" t="str">
        <f t="shared" si="176"/>
        <v>CDI-M</v>
      </c>
      <c r="Q1225" s="61"/>
    </row>
    <row r="1226" spans="1:17" ht="13">
      <c r="A1226" s="28">
        <v>281</v>
      </c>
      <c r="B1226" s="28">
        <v>158617</v>
      </c>
      <c r="C1226" s="129" t="s">
        <v>1111</v>
      </c>
      <c r="D1226" s="128" t="s">
        <v>153</v>
      </c>
      <c r="E1226" s="128" t="s">
        <v>146</v>
      </c>
      <c r="F1226" s="29">
        <v>26587</v>
      </c>
      <c r="G1226" s="56" t="str">
        <f t="shared" ca="1" si="177"/>
        <v>V 45</v>
      </c>
      <c r="H1226" s="28">
        <f t="shared" ca="1" si="178"/>
        <v>48</v>
      </c>
      <c r="J1226" s="38" t="str">
        <f t="shared" si="172"/>
        <v>Inês dos Santos</v>
      </c>
      <c r="K1226" s="39">
        <f t="shared" si="173"/>
        <v>281</v>
      </c>
      <c r="L1226" s="39">
        <f t="shared" si="174"/>
        <v>158617</v>
      </c>
      <c r="M1226" s="40">
        <f t="shared" si="179"/>
        <v>26587</v>
      </c>
      <c r="N1226" s="41" t="str">
        <f t="shared" ca="1" si="180"/>
        <v>V 45</v>
      </c>
      <c r="O1226" s="41" t="str">
        <f t="shared" si="175"/>
        <v>F</v>
      </c>
      <c r="P1226" s="60" t="str">
        <f t="shared" si="176"/>
        <v>CDI-M</v>
      </c>
      <c r="Q1226" s="61"/>
    </row>
    <row r="1227" spans="1:17" ht="13">
      <c r="A1227" s="28">
        <v>839</v>
      </c>
      <c r="B1227" s="28">
        <v>152408</v>
      </c>
      <c r="C1227" s="129" t="s">
        <v>818</v>
      </c>
      <c r="D1227" s="128" t="s">
        <v>153</v>
      </c>
      <c r="E1227" s="128" t="s">
        <v>145</v>
      </c>
      <c r="F1227" s="29">
        <v>24937</v>
      </c>
      <c r="G1227" s="56" t="str">
        <f t="shared" ca="1" si="177"/>
        <v>V 50</v>
      </c>
      <c r="H1227" s="28">
        <f t="shared" ca="1" si="178"/>
        <v>53</v>
      </c>
      <c r="J1227" s="38" t="str">
        <f t="shared" si="172"/>
        <v>José A. Ferreira</v>
      </c>
      <c r="K1227" s="39">
        <f t="shared" si="173"/>
        <v>839</v>
      </c>
      <c r="L1227" s="39">
        <f t="shared" si="174"/>
        <v>152408</v>
      </c>
      <c r="M1227" s="40">
        <f t="shared" si="179"/>
        <v>24937</v>
      </c>
      <c r="N1227" s="41" t="str">
        <f t="shared" ca="1" si="180"/>
        <v>V 50</v>
      </c>
      <c r="O1227" s="41" t="str">
        <f t="shared" si="175"/>
        <v>M</v>
      </c>
      <c r="P1227" s="60" t="str">
        <f t="shared" si="176"/>
        <v>CDI-M</v>
      </c>
      <c r="Q1227" s="61"/>
    </row>
    <row r="1228" spans="1:17" ht="13">
      <c r="A1228" s="28">
        <v>838</v>
      </c>
      <c r="B1228" s="28">
        <v>124975</v>
      </c>
      <c r="C1228" s="129" t="s">
        <v>238</v>
      </c>
      <c r="D1228" s="128" t="s">
        <v>153</v>
      </c>
      <c r="E1228" s="128" t="s">
        <v>145</v>
      </c>
      <c r="F1228" s="29">
        <v>27883</v>
      </c>
      <c r="G1228" s="56" t="str">
        <f t="shared" ca="1" si="177"/>
        <v>V 40</v>
      </c>
      <c r="H1228" s="28">
        <f t="shared" ca="1" si="178"/>
        <v>44</v>
      </c>
      <c r="J1228" s="38" t="str">
        <f t="shared" si="172"/>
        <v>Luís Aguiar</v>
      </c>
      <c r="K1228" s="39">
        <f t="shared" si="173"/>
        <v>838</v>
      </c>
      <c r="L1228" s="39">
        <f t="shared" si="174"/>
        <v>124975</v>
      </c>
      <c r="M1228" s="40">
        <f t="shared" si="179"/>
        <v>27883</v>
      </c>
      <c r="N1228" s="41" t="str">
        <f t="shared" ca="1" si="180"/>
        <v>V 40</v>
      </c>
      <c r="O1228" s="41" t="str">
        <f t="shared" si="175"/>
        <v>M</v>
      </c>
      <c r="P1228" s="60" t="str">
        <f t="shared" si="176"/>
        <v>CDI-M</v>
      </c>
      <c r="Q1228" s="61"/>
    </row>
    <row r="1229" spans="1:17" ht="13">
      <c r="A1229" s="28">
        <v>1781</v>
      </c>
      <c r="B1229" s="28">
        <v>142484</v>
      </c>
      <c r="C1229" s="129" t="s">
        <v>548</v>
      </c>
      <c r="D1229" s="128" t="s">
        <v>545</v>
      </c>
      <c r="E1229" s="128" t="s">
        <v>146</v>
      </c>
      <c r="F1229" s="29">
        <v>38853</v>
      </c>
      <c r="G1229" s="56" t="str">
        <f t="shared" ca="1" si="177"/>
        <v>Iniciado</v>
      </c>
      <c r="H1229" s="28">
        <f t="shared" ca="1" si="178"/>
        <v>14</v>
      </c>
      <c r="J1229" s="38" t="str">
        <f t="shared" si="172"/>
        <v>Leonilde Nunes</v>
      </c>
      <c r="K1229" s="39">
        <f t="shared" si="173"/>
        <v>1781</v>
      </c>
      <c r="L1229" s="39">
        <f t="shared" si="174"/>
        <v>142484</v>
      </c>
      <c r="M1229" s="40">
        <f t="shared" si="179"/>
        <v>38853</v>
      </c>
      <c r="N1229" s="41" t="str">
        <f t="shared" ca="1" si="180"/>
        <v>Iniciado</v>
      </c>
      <c r="O1229" s="41" t="str">
        <f t="shared" si="175"/>
        <v>F</v>
      </c>
      <c r="P1229" s="60" t="str">
        <f t="shared" si="176"/>
        <v>CEE-M</v>
      </c>
      <c r="Q1229" s="61"/>
    </row>
    <row r="1230" spans="1:17" ht="13">
      <c r="A1230" s="28">
        <v>837</v>
      </c>
      <c r="B1230" s="28">
        <v>153646</v>
      </c>
      <c r="C1230" s="129" t="s">
        <v>923</v>
      </c>
      <c r="D1230" s="128" t="s">
        <v>545</v>
      </c>
      <c r="E1230" s="128" t="s">
        <v>145</v>
      </c>
      <c r="F1230" s="29">
        <v>26233</v>
      </c>
      <c r="G1230" s="56" t="str">
        <f t="shared" ca="1" si="177"/>
        <v>V 45</v>
      </c>
      <c r="H1230" s="28">
        <f t="shared" ca="1" si="178"/>
        <v>49</v>
      </c>
      <c r="J1230" s="38" t="str">
        <f t="shared" si="172"/>
        <v>Carlos Viríssimo</v>
      </c>
      <c r="K1230" s="39">
        <f t="shared" si="173"/>
        <v>837</v>
      </c>
      <c r="L1230" s="39">
        <f t="shared" si="174"/>
        <v>153646</v>
      </c>
      <c r="M1230" s="40">
        <f t="shared" si="179"/>
        <v>26233</v>
      </c>
      <c r="N1230" s="41" t="str">
        <f t="shared" ca="1" si="180"/>
        <v>V 45</v>
      </c>
      <c r="O1230" s="41" t="str">
        <f t="shared" si="175"/>
        <v>M</v>
      </c>
      <c r="P1230" s="60" t="str">
        <f t="shared" si="176"/>
        <v>CEE-M</v>
      </c>
      <c r="Q1230" s="61"/>
    </row>
    <row r="1231" spans="1:17" ht="13">
      <c r="A1231" s="28">
        <v>1912</v>
      </c>
      <c r="B1231" s="28">
        <v>160720</v>
      </c>
      <c r="C1231" s="129" t="s">
        <v>1315</v>
      </c>
      <c r="D1231" s="128" t="s">
        <v>545</v>
      </c>
      <c r="E1231" s="128" t="s">
        <v>146</v>
      </c>
      <c r="F1231" s="29">
        <v>39596</v>
      </c>
      <c r="G1231" s="56" t="str">
        <f t="shared" ca="1" si="177"/>
        <v>Infantil</v>
      </c>
      <c r="H1231" s="28">
        <f t="shared" ca="1" si="178"/>
        <v>12</v>
      </c>
      <c r="J1231" s="38" t="str">
        <f t="shared" si="172"/>
        <v>Tatiana Vieira</v>
      </c>
      <c r="K1231" s="39">
        <f t="shared" si="173"/>
        <v>1912</v>
      </c>
      <c r="L1231" s="39">
        <f t="shared" si="174"/>
        <v>160720</v>
      </c>
      <c r="M1231" s="40">
        <f t="shared" si="179"/>
        <v>39596</v>
      </c>
      <c r="N1231" s="41" t="str">
        <f t="shared" ca="1" si="180"/>
        <v>Infantil</v>
      </c>
      <c r="O1231" s="41" t="str">
        <f t="shared" si="175"/>
        <v>F</v>
      </c>
      <c r="P1231" s="60" t="str">
        <f t="shared" si="176"/>
        <v>CEE-M</v>
      </c>
      <c r="Q1231" s="61"/>
    </row>
    <row r="1232" spans="1:17" ht="13">
      <c r="A1232" s="28">
        <v>2217</v>
      </c>
      <c r="B1232" s="28">
        <v>164164</v>
      </c>
      <c r="C1232" s="129" t="s">
        <v>1554</v>
      </c>
      <c r="D1232" s="128" t="s">
        <v>545</v>
      </c>
      <c r="E1232" s="128" t="s">
        <v>145</v>
      </c>
      <c r="F1232" s="29">
        <v>40305</v>
      </c>
      <c r="G1232" s="56" t="str">
        <f t="shared" ca="1" si="177"/>
        <v>Benjamim B</v>
      </c>
      <c r="H1232" s="28">
        <f t="shared" ca="1" si="178"/>
        <v>10</v>
      </c>
      <c r="J1232" s="38" t="str">
        <f t="shared" si="172"/>
        <v>Luciano D. Abreu</v>
      </c>
      <c r="K1232" s="39">
        <f t="shared" si="173"/>
        <v>2217</v>
      </c>
      <c r="L1232" s="39">
        <f t="shared" si="174"/>
        <v>164164</v>
      </c>
      <c r="M1232" s="40">
        <f t="shared" si="179"/>
        <v>40305</v>
      </c>
      <c r="N1232" s="41" t="str">
        <f t="shared" ca="1" si="180"/>
        <v>Benjamim B</v>
      </c>
      <c r="O1232" s="41" t="str">
        <f t="shared" si="175"/>
        <v>M</v>
      </c>
      <c r="P1232" s="60" t="str">
        <f t="shared" si="176"/>
        <v>CEE-M</v>
      </c>
      <c r="Q1232" s="61"/>
    </row>
    <row r="1233" spans="1:17" ht="13">
      <c r="A1233" s="28">
        <v>847</v>
      </c>
      <c r="B1233" s="28">
        <v>153097</v>
      </c>
      <c r="C1233" s="129" t="s">
        <v>1374</v>
      </c>
      <c r="D1233" s="128" t="s">
        <v>161</v>
      </c>
      <c r="E1233" s="128" t="s">
        <v>145</v>
      </c>
      <c r="F1233" s="29">
        <v>28456</v>
      </c>
      <c r="G1233" s="56" t="str">
        <f t="shared" ca="1" si="177"/>
        <v>V 40</v>
      </c>
      <c r="H1233" s="28">
        <f t="shared" ca="1" si="178"/>
        <v>43</v>
      </c>
      <c r="J1233" s="38" t="str">
        <f t="shared" si="172"/>
        <v>Acácio Gouveia</v>
      </c>
      <c r="K1233" s="39">
        <f t="shared" si="173"/>
        <v>847</v>
      </c>
      <c r="L1233" s="39">
        <f t="shared" si="174"/>
        <v>153097</v>
      </c>
      <c r="M1233" s="40">
        <f t="shared" si="179"/>
        <v>28456</v>
      </c>
      <c r="N1233" s="41" t="str">
        <f t="shared" ca="1" si="180"/>
        <v>V 40</v>
      </c>
      <c r="O1233" s="41" t="str">
        <f t="shared" si="175"/>
        <v>M</v>
      </c>
      <c r="P1233" s="60" t="str">
        <f t="shared" si="176"/>
        <v>CPC-M</v>
      </c>
      <c r="Q1233" s="61"/>
    </row>
    <row r="1234" spans="1:17" ht="13">
      <c r="A1234" s="28">
        <v>848</v>
      </c>
      <c r="B1234" s="28">
        <v>153110</v>
      </c>
      <c r="C1234" s="129" t="s">
        <v>861</v>
      </c>
      <c r="D1234" s="128" t="s">
        <v>161</v>
      </c>
      <c r="E1234" s="128" t="s">
        <v>145</v>
      </c>
      <c r="F1234" s="29">
        <v>26721</v>
      </c>
      <c r="G1234" s="56" t="str">
        <f t="shared" ca="1" si="177"/>
        <v>V 45</v>
      </c>
      <c r="H1234" s="28">
        <f t="shared" ca="1" si="178"/>
        <v>48</v>
      </c>
      <c r="J1234" s="38" t="str">
        <f t="shared" si="172"/>
        <v>Sérgio P. Gouveia</v>
      </c>
      <c r="K1234" s="39">
        <f t="shared" si="173"/>
        <v>848</v>
      </c>
      <c r="L1234" s="39">
        <f t="shared" si="174"/>
        <v>153110</v>
      </c>
      <c r="M1234" s="40">
        <f t="shared" si="179"/>
        <v>26721</v>
      </c>
      <c r="N1234" s="41" t="str">
        <f t="shared" ca="1" si="180"/>
        <v>V 45</v>
      </c>
      <c r="O1234" s="41" t="str">
        <f t="shared" si="175"/>
        <v>M</v>
      </c>
      <c r="P1234" s="60" t="str">
        <f t="shared" si="176"/>
        <v>CPC-M</v>
      </c>
      <c r="Q1234" s="61"/>
    </row>
    <row r="1235" spans="1:17" ht="13">
      <c r="A1235" s="28">
        <v>1700</v>
      </c>
      <c r="B1235" s="28">
        <v>140159</v>
      </c>
      <c r="C1235" s="129" t="s">
        <v>1357</v>
      </c>
      <c r="D1235" s="128" t="s">
        <v>1240</v>
      </c>
      <c r="E1235" s="128" t="s">
        <v>145</v>
      </c>
      <c r="F1235" s="29">
        <v>38573</v>
      </c>
      <c r="G1235" s="56" t="str">
        <f t="shared" ca="1" si="177"/>
        <v>Juvenil</v>
      </c>
      <c r="H1235" s="28">
        <f t="shared" ca="1" si="178"/>
        <v>15</v>
      </c>
      <c r="J1235" s="38" t="str">
        <f t="shared" si="172"/>
        <v>Rodrigo Boulhosa</v>
      </c>
      <c r="K1235" s="39">
        <f t="shared" si="173"/>
        <v>1700</v>
      </c>
      <c r="L1235" s="39">
        <f t="shared" si="174"/>
        <v>140159</v>
      </c>
      <c r="M1235" s="40">
        <f t="shared" si="179"/>
        <v>38573</v>
      </c>
      <c r="N1235" s="41" t="str">
        <f t="shared" ca="1" si="180"/>
        <v>Juvenil</v>
      </c>
      <c r="O1235" s="41" t="str">
        <f t="shared" si="175"/>
        <v>M</v>
      </c>
      <c r="P1235" s="60" t="str">
        <f t="shared" si="176"/>
        <v>GDC-M</v>
      </c>
      <c r="Q1235" s="61"/>
    </row>
    <row r="1236" spans="1:17" ht="13">
      <c r="A1236" s="28">
        <v>836</v>
      </c>
      <c r="B1236" s="28">
        <v>127975</v>
      </c>
      <c r="C1236" s="129" t="s">
        <v>704</v>
      </c>
      <c r="D1236" s="128" t="s">
        <v>1240</v>
      </c>
      <c r="E1236" s="128" t="s">
        <v>145</v>
      </c>
      <c r="F1236" s="29">
        <v>25561</v>
      </c>
      <c r="G1236" s="56" t="str">
        <f t="shared" ca="1" si="177"/>
        <v>V 50</v>
      </c>
      <c r="H1236" s="28">
        <f t="shared" ca="1" si="178"/>
        <v>51</v>
      </c>
      <c r="J1236" s="38" t="str">
        <f t="shared" si="172"/>
        <v>Duarte Bettencourt</v>
      </c>
      <c r="K1236" s="39">
        <f t="shared" si="173"/>
        <v>836</v>
      </c>
      <c r="L1236" s="39">
        <f t="shared" si="174"/>
        <v>127975</v>
      </c>
      <c r="M1236" s="40">
        <f t="shared" si="179"/>
        <v>25561</v>
      </c>
      <c r="N1236" s="41" t="str">
        <f t="shared" ca="1" si="180"/>
        <v>V 50</v>
      </c>
      <c r="O1236" s="41" t="str">
        <f t="shared" si="175"/>
        <v>M</v>
      </c>
      <c r="P1236" s="60" t="str">
        <f t="shared" si="176"/>
        <v>GDC-M</v>
      </c>
      <c r="Q1236" s="61"/>
    </row>
    <row r="1237" spans="1:17" ht="13">
      <c r="A1237" s="28">
        <v>835</v>
      </c>
      <c r="B1237" s="28">
        <v>128155</v>
      </c>
      <c r="C1237" s="129" t="s">
        <v>693</v>
      </c>
      <c r="D1237" s="128" t="s">
        <v>1240</v>
      </c>
      <c r="E1237" s="128" t="s">
        <v>145</v>
      </c>
      <c r="F1237" s="29">
        <v>29251</v>
      </c>
      <c r="G1237" s="56" t="str">
        <f t="shared" ca="1" si="177"/>
        <v>V 40</v>
      </c>
      <c r="H1237" s="28">
        <f t="shared" ca="1" si="178"/>
        <v>41</v>
      </c>
      <c r="J1237" s="38" t="str">
        <f t="shared" si="172"/>
        <v>Tony Serrão</v>
      </c>
      <c r="K1237" s="39">
        <f t="shared" si="173"/>
        <v>835</v>
      </c>
      <c r="L1237" s="39">
        <f t="shared" si="174"/>
        <v>128155</v>
      </c>
      <c r="M1237" s="40">
        <f t="shared" si="179"/>
        <v>29251</v>
      </c>
      <c r="N1237" s="41" t="str">
        <f t="shared" ca="1" si="180"/>
        <v>V 40</v>
      </c>
      <c r="O1237" s="41" t="str">
        <f t="shared" si="175"/>
        <v>M</v>
      </c>
      <c r="P1237" s="60" t="str">
        <f t="shared" si="176"/>
        <v>GDC-M</v>
      </c>
      <c r="Q1237" s="61"/>
    </row>
    <row r="1238" spans="1:17" ht="13">
      <c r="A1238" s="28">
        <v>834</v>
      </c>
      <c r="B1238" s="28">
        <v>139720</v>
      </c>
      <c r="C1238" s="129" t="s">
        <v>927</v>
      </c>
      <c r="D1238" s="128" t="s">
        <v>1240</v>
      </c>
      <c r="E1238" s="128" t="s">
        <v>145</v>
      </c>
      <c r="F1238" s="29">
        <v>24891</v>
      </c>
      <c r="G1238" s="56" t="str">
        <f t="shared" ca="1" si="177"/>
        <v>V 50</v>
      </c>
      <c r="H1238" s="28">
        <f t="shared" ca="1" si="178"/>
        <v>53</v>
      </c>
      <c r="J1238" s="38" t="str">
        <f t="shared" si="172"/>
        <v>Ricardo Manuel</v>
      </c>
      <c r="K1238" s="39">
        <f t="shared" si="173"/>
        <v>834</v>
      </c>
      <c r="L1238" s="39">
        <f t="shared" si="174"/>
        <v>139720</v>
      </c>
      <c r="M1238" s="40">
        <f t="shared" si="179"/>
        <v>24891</v>
      </c>
      <c r="N1238" s="41" t="str">
        <f t="shared" ca="1" si="180"/>
        <v>V 50</v>
      </c>
      <c r="O1238" s="41" t="str">
        <f t="shared" si="175"/>
        <v>M</v>
      </c>
      <c r="P1238" s="60" t="str">
        <f t="shared" si="176"/>
        <v>GDC-M</v>
      </c>
      <c r="Q1238" s="61"/>
    </row>
    <row r="1239" spans="1:17" ht="13">
      <c r="A1239" s="28">
        <v>833</v>
      </c>
      <c r="B1239" s="28">
        <v>140832</v>
      </c>
      <c r="C1239" s="129" t="s">
        <v>698</v>
      </c>
      <c r="D1239" s="128" t="s">
        <v>1240</v>
      </c>
      <c r="E1239" s="128" t="s">
        <v>145</v>
      </c>
      <c r="F1239" s="29">
        <v>32605</v>
      </c>
      <c r="G1239" s="56" t="str">
        <f t="shared" ca="1" si="177"/>
        <v>Sénior</v>
      </c>
      <c r="H1239" s="28">
        <f t="shared" ca="1" si="178"/>
        <v>32</v>
      </c>
      <c r="J1239" s="38" t="str">
        <f t="shared" si="172"/>
        <v>José Xavier Sousa</v>
      </c>
      <c r="K1239" s="39">
        <f t="shared" si="173"/>
        <v>833</v>
      </c>
      <c r="L1239" s="39">
        <f t="shared" si="174"/>
        <v>140832</v>
      </c>
      <c r="M1239" s="40">
        <f t="shared" si="179"/>
        <v>32605</v>
      </c>
      <c r="N1239" s="41" t="str">
        <f t="shared" ca="1" si="180"/>
        <v>Sénior</v>
      </c>
      <c r="O1239" s="41" t="str">
        <f t="shared" si="175"/>
        <v>M</v>
      </c>
      <c r="P1239" s="60" t="str">
        <f t="shared" si="176"/>
        <v>GDC-M</v>
      </c>
      <c r="Q1239" s="61"/>
    </row>
    <row r="1240" spans="1:17" ht="13">
      <c r="A1240" s="28">
        <v>832</v>
      </c>
      <c r="B1240" s="28">
        <v>129346</v>
      </c>
      <c r="C1240" s="129" t="s">
        <v>685</v>
      </c>
      <c r="D1240" s="128" t="s">
        <v>1240</v>
      </c>
      <c r="E1240" s="128" t="s">
        <v>145</v>
      </c>
      <c r="F1240" s="29">
        <v>26786</v>
      </c>
      <c r="G1240" s="56" t="str">
        <f t="shared" ca="1" si="177"/>
        <v>V 45</v>
      </c>
      <c r="H1240" s="28">
        <f t="shared" ca="1" si="178"/>
        <v>47</v>
      </c>
      <c r="J1240" s="38" t="str">
        <f t="shared" si="172"/>
        <v>José M. Caires</v>
      </c>
      <c r="K1240" s="39">
        <f t="shared" si="173"/>
        <v>832</v>
      </c>
      <c r="L1240" s="39">
        <f t="shared" si="174"/>
        <v>129346</v>
      </c>
      <c r="M1240" s="40">
        <f t="shared" si="179"/>
        <v>26786</v>
      </c>
      <c r="N1240" s="41" t="str">
        <f t="shared" ca="1" si="180"/>
        <v>V 45</v>
      </c>
      <c r="O1240" s="41" t="str">
        <f t="shared" si="175"/>
        <v>M</v>
      </c>
      <c r="P1240" s="60" t="str">
        <f t="shared" si="176"/>
        <v>GDC-M</v>
      </c>
      <c r="Q1240" s="61"/>
    </row>
    <row r="1241" spans="1:17" ht="13">
      <c r="A1241" s="28">
        <v>2093</v>
      </c>
      <c r="B1241" s="28">
        <v>163890</v>
      </c>
      <c r="C1241" s="129" t="s">
        <v>1425</v>
      </c>
      <c r="D1241" s="128" t="s">
        <v>124</v>
      </c>
      <c r="E1241" s="128" t="s">
        <v>146</v>
      </c>
      <c r="F1241" s="29">
        <v>41871</v>
      </c>
      <c r="G1241" s="56" t="str">
        <f t="shared" ca="1" si="177"/>
        <v>Benjamim A</v>
      </c>
      <c r="H1241" s="28">
        <f t="shared" ca="1" si="178"/>
        <v>6</v>
      </c>
      <c r="J1241" s="38" t="str">
        <f t="shared" si="172"/>
        <v>Maria Neto</v>
      </c>
      <c r="K1241" s="39">
        <f t="shared" si="173"/>
        <v>2093</v>
      </c>
      <c r="L1241" s="39">
        <f t="shared" si="174"/>
        <v>163890</v>
      </c>
      <c r="M1241" s="40">
        <f t="shared" si="179"/>
        <v>41871</v>
      </c>
      <c r="N1241" s="41" t="str">
        <f t="shared" ca="1" si="180"/>
        <v>Benjamim A</v>
      </c>
      <c r="O1241" s="41" t="str">
        <f t="shared" si="175"/>
        <v>F</v>
      </c>
      <c r="P1241" s="60" t="str">
        <f t="shared" si="176"/>
        <v>CSM</v>
      </c>
      <c r="Q1241" s="61"/>
    </row>
    <row r="1242" spans="1:17" ht="13">
      <c r="A1242" s="28">
        <v>1880</v>
      </c>
      <c r="B1242" s="28">
        <v>158365</v>
      </c>
      <c r="C1242" s="129" t="s">
        <v>1102</v>
      </c>
      <c r="D1242" s="128" t="s">
        <v>143</v>
      </c>
      <c r="E1242" s="128" t="s">
        <v>145</v>
      </c>
      <c r="F1242" s="29">
        <v>39076</v>
      </c>
      <c r="G1242" s="56" t="str">
        <f t="shared" ca="1" si="177"/>
        <v>Iniciado</v>
      </c>
      <c r="H1242" s="28">
        <f t="shared" ca="1" si="178"/>
        <v>14</v>
      </c>
      <c r="J1242" s="38" t="str">
        <f t="shared" si="172"/>
        <v>Gonçalo Margarido</v>
      </c>
      <c r="K1242" s="39">
        <f t="shared" si="173"/>
        <v>1880</v>
      </c>
      <c r="L1242" s="39">
        <f t="shared" si="174"/>
        <v>158365</v>
      </c>
      <c r="M1242" s="40">
        <f t="shared" si="179"/>
        <v>39076</v>
      </c>
      <c r="N1242" s="41" t="str">
        <f t="shared" ca="1" si="180"/>
        <v>Iniciado</v>
      </c>
      <c r="O1242" s="41" t="str">
        <f t="shared" si="175"/>
        <v>M</v>
      </c>
      <c r="P1242" s="60" t="str">
        <f t="shared" si="176"/>
        <v>CAFH</v>
      </c>
      <c r="Q1242" s="61"/>
    </row>
    <row r="1243" spans="1:17" ht="13">
      <c r="A1243" s="28">
        <v>2218</v>
      </c>
      <c r="B1243" s="28">
        <v>164695</v>
      </c>
      <c r="C1243" s="129" t="s">
        <v>1555</v>
      </c>
      <c r="D1243" s="128" t="s">
        <v>545</v>
      </c>
      <c r="E1243" s="128" t="s">
        <v>145</v>
      </c>
      <c r="F1243" s="29">
        <v>40322</v>
      </c>
      <c r="G1243" s="56" t="str">
        <f t="shared" ca="1" si="177"/>
        <v>Benjamim B</v>
      </c>
      <c r="H1243" s="28">
        <f t="shared" ca="1" si="178"/>
        <v>10</v>
      </c>
      <c r="J1243" s="38" t="str">
        <f t="shared" si="172"/>
        <v>Joel Pestana</v>
      </c>
      <c r="K1243" s="39">
        <f t="shared" si="173"/>
        <v>2218</v>
      </c>
      <c r="L1243" s="39">
        <f t="shared" si="174"/>
        <v>164695</v>
      </c>
      <c r="M1243" s="40">
        <f t="shared" si="179"/>
        <v>40322</v>
      </c>
      <c r="N1243" s="41" t="str">
        <f t="shared" ca="1" si="180"/>
        <v>Benjamim B</v>
      </c>
      <c r="O1243" s="41" t="str">
        <f t="shared" si="175"/>
        <v>M</v>
      </c>
      <c r="P1243" s="60" t="str">
        <f t="shared" si="176"/>
        <v>CEE-M</v>
      </c>
      <c r="Q1243" s="61"/>
    </row>
    <row r="1244" spans="1:17" ht="13">
      <c r="A1244" s="28">
        <v>2032</v>
      </c>
      <c r="B1244" s="28">
        <v>164694</v>
      </c>
      <c r="C1244" s="129" t="s">
        <v>1556</v>
      </c>
      <c r="D1244" s="128" t="s">
        <v>545</v>
      </c>
      <c r="E1244" s="128" t="s">
        <v>145</v>
      </c>
      <c r="F1244" s="29">
        <v>40053</v>
      </c>
      <c r="G1244" s="56" t="str">
        <f t="shared" ca="1" si="177"/>
        <v>Infantil</v>
      </c>
      <c r="H1244" s="28">
        <f t="shared" ca="1" si="178"/>
        <v>11</v>
      </c>
      <c r="J1244" s="38" t="str">
        <f t="shared" si="172"/>
        <v>Jesus Meneses</v>
      </c>
      <c r="K1244" s="39">
        <f t="shared" si="173"/>
        <v>2032</v>
      </c>
      <c r="L1244" s="39">
        <f t="shared" si="174"/>
        <v>164694</v>
      </c>
      <c r="M1244" s="40">
        <f t="shared" si="179"/>
        <v>40053</v>
      </c>
      <c r="N1244" s="41" t="str">
        <f t="shared" ca="1" si="180"/>
        <v>Infantil</v>
      </c>
      <c r="O1244" s="41" t="str">
        <f t="shared" si="175"/>
        <v>M</v>
      </c>
      <c r="P1244" s="60" t="str">
        <f t="shared" si="176"/>
        <v>CEE-M</v>
      </c>
      <c r="Q1244" s="61"/>
    </row>
    <row r="1245" spans="1:17" ht="13">
      <c r="A1245" s="28">
        <v>1913</v>
      </c>
      <c r="B1245" s="28">
        <v>164384</v>
      </c>
      <c r="C1245" s="129" t="s">
        <v>1545</v>
      </c>
      <c r="D1245" s="128" t="s">
        <v>545</v>
      </c>
      <c r="E1245" s="128" t="s">
        <v>146</v>
      </c>
      <c r="F1245" s="29">
        <v>39840</v>
      </c>
      <c r="G1245" s="56" t="str">
        <f t="shared" ca="1" si="177"/>
        <v>Infantil</v>
      </c>
      <c r="H1245" s="28">
        <f t="shared" ca="1" si="178"/>
        <v>12</v>
      </c>
      <c r="J1245" s="38" t="str">
        <f t="shared" si="172"/>
        <v>Viviana Jesus</v>
      </c>
      <c r="K1245" s="39">
        <f t="shared" si="173"/>
        <v>1913</v>
      </c>
      <c r="L1245" s="39">
        <f t="shared" si="174"/>
        <v>164384</v>
      </c>
      <c r="M1245" s="40">
        <f t="shared" si="179"/>
        <v>39840</v>
      </c>
      <c r="N1245" s="41" t="str">
        <f t="shared" ca="1" si="180"/>
        <v>Infantil</v>
      </c>
      <c r="O1245" s="41" t="str">
        <f t="shared" si="175"/>
        <v>F</v>
      </c>
      <c r="P1245" s="60" t="str">
        <f t="shared" si="176"/>
        <v>CEE-M</v>
      </c>
      <c r="Q1245" s="61"/>
    </row>
    <row r="1246" spans="1:17" ht="13">
      <c r="A1246" s="28">
        <v>2092</v>
      </c>
      <c r="B1246" s="28">
        <v>164389</v>
      </c>
      <c r="C1246" s="129" t="s">
        <v>1546</v>
      </c>
      <c r="D1246" s="128" t="s">
        <v>545</v>
      </c>
      <c r="E1246" s="128" t="s">
        <v>146</v>
      </c>
      <c r="F1246" s="29">
        <v>40424</v>
      </c>
      <c r="G1246" s="56" t="str">
        <f t="shared" ca="1" si="177"/>
        <v>Benjamim B</v>
      </c>
      <c r="H1246" s="28">
        <f t="shared" ca="1" si="178"/>
        <v>10</v>
      </c>
      <c r="J1246" s="38" t="str">
        <f t="shared" si="172"/>
        <v>Laura Santos</v>
      </c>
      <c r="K1246" s="39">
        <f t="shared" si="173"/>
        <v>2092</v>
      </c>
      <c r="L1246" s="39">
        <f t="shared" si="174"/>
        <v>164389</v>
      </c>
      <c r="M1246" s="40">
        <f t="shared" si="179"/>
        <v>40424</v>
      </c>
      <c r="N1246" s="41" t="str">
        <f t="shared" ca="1" si="180"/>
        <v>Benjamim B</v>
      </c>
      <c r="O1246" s="41" t="str">
        <f t="shared" si="175"/>
        <v>F</v>
      </c>
      <c r="P1246" s="60" t="str">
        <f t="shared" si="176"/>
        <v>CEE-M</v>
      </c>
      <c r="Q1246" s="61"/>
    </row>
    <row r="1247" spans="1:17" ht="13">
      <c r="A1247" s="28">
        <v>2091</v>
      </c>
      <c r="B1247" s="28">
        <v>164160</v>
      </c>
      <c r="C1247" s="129" t="s">
        <v>1547</v>
      </c>
      <c r="D1247" s="128" t="s">
        <v>545</v>
      </c>
      <c r="E1247" s="128" t="s">
        <v>146</v>
      </c>
      <c r="F1247" s="29">
        <v>40352</v>
      </c>
      <c r="G1247" s="56" t="str">
        <f t="shared" ca="1" si="177"/>
        <v>Benjamim B</v>
      </c>
      <c r="H1247" s="28">
        <f t="shared" ca="1" si="178"/>
        <v>10</v>
      </c>
      <c r="J1247" s="38" t="str">
        <f t="shared" si="172"/>
        <v>Margarida J. Pereira</v>
      </c>
      <c r="K1247" s="39">
        <f t="shared" si="173"/>
        <v>2091</v>
      </c>
      <c r="L1247" s="39">
        <f t="shared" si="174"/>
        <v>164160</v>
      </c>
      <c r="M1247" s="40">
        <f t="shared" si="179"/>
        <v>40352</v>
      </c>
      <c r="N1247" s="41" t="str">
        <f t="shared" ca="1" si="180"/>
        <v>Benjamim B</v>
      </c>
      <c r="O1247" s="41" t="str">
        <f t="shared" si="175"/>
        <v>F</v>
      </c>
      <c r="P1247" s="60" t="str">
        <f t="shared" si="176"/>
        <v>CEE-M</v>
      </c>
      <c r="Q1247" s="61"/>
    </row>
    <row r="1248" spans="1:17" ht="13">
      <c r="A1248" s="28">
        <v>2090</v>
      </c>
      <c r="B1248" s="28">
        <v>164159</v>
      </c>
      <c r="C1248" s="129" t="s">
        <v>1548</v>
      </c>
      <c r="D1248" s="128" t="s">
        <v>545</v>
      </c>
      <c r="E1248" s="128" t="s">
        <v>146</v>
      </c>
      <c r="F1248" s="29">
        <v>40534</v>
      </c>
      <c r="G1248" s="56" t="str">
        <f t="shared" ca="1" si="177"/>
        <v>Benjamim B</v>
      </c>
      <c r="H1248" s="28">
        <f t="shared" ca="1" si="178"/>
        <v>10</v>
      </c>
      <c r="J1248" s="38" t="str">
        <f t="shared" si="172"/>
        <v xml:space="preserve">Débora Pestana </v>
      </c>
      <c r="K1248" s="39">
        <f t="shared" si="173"/>
        <v>2090</v>
      </c>
      <c r="L1248" s="39">
        <f t="shared" si="174"/>
        <v>164159</v>
      </c>
      <c r="M1248" s="40">
        <f t="shared" si="179"/>
        <v>40534</v>
      </c>
      <c r="N1248" s="41" t="str">
        <f t="shared" ca="1" si="180"/>
        <v>Benjamim B</v>
      </c>
      <c r="O1248" s="41" t="str">
        <f t="shared" si="175"/>
        <v>F</v>
      </c>
      <c r="P1248" s="60" t="str">
        <f t="shared" si="176"/>
        <v>CEE-M</v>
      </c>
      <c r="Q1248" s="61"/>
    </row>
    <row r="1249" spans="1:17" ht="13">
      <c r="A1249" s="28">
        <v>1782</v>
      </c>
      <c r="B1249" s="28">
        <v>140071</v>
      </c>
      <c r="C1249" s="129" t="s">
        <v>904</v>
      </c>
      <c r="D1249" s="128" t="s">
        <v>123</v>
      </c>
      <c r="E1249" s="128" t="s">
        <v>146</v>
      </c>
      <c r="F1249" s="29">
        <v>39269</v>
      </c>
      <c r="G1249" s="56" t="str">
        <f t="shared" ca="1" si="177"/>
        <v>Iniciado</v>
      </c>
      <c r="H1249" s="28">
        <f t="shared" ca="1" si="178"/>
        <v>13</v>
      </c>
      <c r="J1249" s="38" t="str">
        <f t="shared" si="172"/>
        <v>Carolina Faria</v>
      </c>
      <c r="K1249" s="39">
        <f t="shared" si="173"/>
        <v>1782</v>
      </c>
      <c r="L1249" s="39">
        <f t="shared" si="174"/>
        <v>140071</v>
      </c>
      <c r="M1249" s="40">
        <f t="shared" si="179"/>
        <v>39269</v>
      </c>
      <c r="N1249" s="41" t="str">
        <f t="shared" ca="1" si="180"/>
        <v>Iniciado</v>
      </c>
      <c r="O1249" s="41" t="str">
        <f t="shared" si="175"/>
        <v>F</v>
      </c>
      <c r="P1249" s="60" t="str">
        <f t="shared" si="176"/>
        <v>AJS</v>
      </c>
      <c r="Q1249" s="61"/>
    </row>
    <row r="1250" spans="1:17" ht="13">
      <c r="A1250" s="28">
        <v>830</v>
      </c>
      <c r="B1250" s="28">
        <v>123607</v>
      </c>
      <c r="C1250" s="129" t="s">
        <v>110</v>
      </c>
      <c r="D1250" s="128" t="s">
        <v>123</v>
      </c>
      <c r="E1250" s="128" t="s">
        <v>145</v>
      </c>
      <c r="F1250" s="29">
        <v>28186</v>
      </c>
      <c r="G1250" s="56" t="str">
        <f t="shared" ca="1" si="177"/>
        <v>V 40</v>
      </c>
      <c r="H1250" s="28">
        <f t="shared" ca="1" si="178"/>
        <v>44</v>
      </c>
      <c r="J1250" s="38" t="str">
        <f t="shared" si="172"/>
        <v>Hélder Fernandes</v>
      </c>
      <c r="K1250" s="39">
        <f t="shared" si="173"/>
        <v>830</v>
      </c>
      <c r="L1250" s="39">
        <f t="shared" si="174"/>
        <v>123607</v>
      </c>
      <c r="M1250" s="40">
        <f t="shared" si="179"/>
        <v>28186</v>
      </c>
      <c r="N1250" s="41" t="str">
        <f t="shared" ca="1" si="180"/>
        <v>V 40</v>
      </c>
      <c r="O1250" s="41" t="str">
        <f t="shared" si="175"/>
        <v>M</v>
      </c>
      <c r="P1250" s="60" t="str">
        <f t="shared" si="176"/>
        <v>AJS</v>
      </c>
      <c r="Q1250" s="61"/>
    </row>
    <row r="1251" spans="1:17" ht="13">
      <c r="A1251" s="28">
        <v>831</v>
      </c>
      <c r="B1251" s="28">
        <v>125089</v>
      </c>
      <c r="C1251" s="129" t="s">
        <v>118</v>
      </c>
      <c r="D1251" s="128" t="s">
        <v>123</v>
      </c>
      <c r="E1251" s="128" t="s">
        <v>145</v>
      </c>
      <c r="F1251" s="29">
        <v>35500</v>
      </c>
      <c r="G1251" s="56" t="str">
        <f t="shared" ca="1" si="177"/>
        <v>Sénior</v>
      </c>
      <c r="H1251" s="28">
        <f t="shared" ca="1" si="178"/>
        <v>24</v>
      </c>
      <c r="J1251" s="38" t="str">
        <f t="shared" si="172"/>
        <v>Paulo Neto</v>
      </c>
      <c r="K1251" s="39">
        <f t="shared" si="173"/>
        <v>831</v>
      </c>
      <c r="L1251" s="39">
        <f t="shared" si="174"/>
        <v>125089</v>
      </c>
      <c r="M1251" s="40">
        <f t="shared" si="179"/>
        <v>35500</v>
      </c>
      <c r="N1251" s="41" t="str">
        <f t="shared" ca="1" si="180"/>
        <v>Sénior</v>
      </c>
      <c r="O1251" s="41" t="str">
        <f t="shared" si="175"/>
        <v>M</v>
      </c>
      <c r="P1251" s="60" t="str">
        <f t="shared" si="176"/>
        <v>AJS</v>
      </c>
      <c r="Q1251" s="61"/>
    </row>
    <row r="1252" spans="1:17" ht="13">
      <c r="A1252" s="28">
        <v>829</v>
      </c>
      <c r="B1252" s="28">
        <v>123606</v>
      </c>
      <c r="C1252" s="129" t="s">
        <v>839</v>
      </c>
      <c r="D1252" s="128" t="s">
        <v>123</v>
      </c>
      <c r="E1252" s="128" t="s">
        <v>145</v>
      </c>
      <c r="F1252" s="29">
        <v>30195</v>
      </c>
      <c r="G1252" s="56" t="str">
        <f t="shared" ca="1" si="177"/>
        <v>V 35</v>
      </c>
      <c r="H1252" s="28">
        <f t="shared" ca="1" si="178"/>
        <v>38</v>
      </c>
      <c r="J1252" s="38" t="str">
        <f t="shared" si="172"/>
        <v>Jorge Grave</v>
      </c>
      <c r="K1252" s="39">
        <f t="shared" si="173"/>
        <v>829</v>
      </c>
      <c r="L1252" s="39">
        <f t="shared" si="174"/>
        <v>123606</v>
      </c>
      <c r="M1252" s="40">
        <f t="shared" si="179"/>
        <v>30195</v>
      </c>
      <c r="N1252" s="41" t="str">
        <f t="shared" ca="1" si="180"/>
        <v>V 35</v>
      </c>
      <c r="O1252" s="41" t="str">
        <f t="shared" si="175"/>
        <v>M</v>
      </c>
      <c r="P1252" s="60" t="str">
        <f t="shared" si="176"/>
        <v>AJS</v>
      </c>
      <c r="Q1252" s="61"/>
    </row>
    <row r="1253" spans="1:17" ht="13">
      <c r="A1253" s="28">
        <v>1879</v>
      </c>
      <c r="B1253" s="28">
        <v>154909</v>
      </c>
      <c r="C1253" s="129" t="s">
        <v>1028</v>
      </c>
      <c r="D1253" s="128" t="s">
        <v>124</v>
      </c>
      <c r="E1253" s="128" t="s">
        <v>145</v>
      </c>
      <c r="F1253" s="29">
        <v>38885</v>
      </c>
      <c r="G1253" s="56" t="str">
        <f t="shared" ca="1" si="177"/>
        <v>Iniciado</v>
      </c>
      <c r="H1253" s="28">
        <f t="shared" ca="1" si="178"/>
        <v>14</v>
      </c>
      <c r="J1253" s="38" t="str">
        <f t="shared" si="172"/>
        <v>Gonçalo Mendonça</v>
      </c>
      <c r="K1253" s="39">
        <f t="shared" si="173"/>
        <v>1879</v>
      </c>
      <c r="L1253" s="39">
        <f t="shared" si="174"/>
        <v>154909</v>
      </c>
      <c r="M1253" s="40">
        <f t="shared" si="179"/>
        <v>38885</v>
      </c>
      <c r="N1253" s="41" t="str">
        <f t="shared" ca="1" si="180"/>
        <v>Iniciado</v>
      </c>
      <c r="O1253" s="41" t="str">
        <f t="shared" si="175"/>
        <v>M</v>
      </c>
      <c r="P1253" s="60" t="str">
        <f t="shared" si="176"/>
        <v>CSM</v>
      </c>
      <c r="Q1253" s="61"/>
    </row>
    <row r="1254" spans="1:17" ht="13">
      <c r="A1254" s="28">
        <v>1914</v>
      </c>
      <c r="B1254" s="28">
        <v>158767</v>
      </c>
      <c r="C1254" s="129" t="s">
        <v>1120</v>
      </c>
      <c r="D1254" s="128" t="s">
        <v>545</v>
      </c>
      <c r="E1254" s="128" t="s">
        <v>146</v>
      </c>
      <c r="F1254" s="29">
        <v>40046</v>
      </c>
      <c r="G1254" s="56" t="str">
        <f t="shared" ca="1" si="177"/>
        <v>Infantil</v>
      </c>
      <c r="H1254" s="28">
        <f t="shared" ca="1" si="178"/>
        <v>11</v>
      </c>
      <c r="J1254" s="38" t="str">
        <f t="shared" si="172"/>
        <v>Adriana Henriques</v>
      </c>
      <c r="K1254" s="39">
        <f t="shared" si="173"/>
        <v>1914</v>
      </c>
      <c r="L1254" s="39">
        <f t="shared" si="174"/>
        <v>158767</v>
      </c>
      <c r="M1254" s="40">
        <f t="shared" si="179"/>
        <v>40046</v>
      </c>
      <c r="N1254" s="41" t="str">
        <f t="shared" ca="1" si="180"/>
        <v>Infantil</v>
      </c>
      <c r="O1254" s="41" t="str">
        <f t="shared" si="175"/>
        <v>F</v>
      </c>
      <c r="P1254" s="60" t="str">
        <f t="shared" si="176"/>
        <v>CEE-M</v>
      </c>
      <c r="Q1254" s="61"/>
    </row>
    <row r="1255" spans="1:17" ht="13">
      <c r="A1255" s="28">
        <v>1783</v>
      </c>
      <c r="B1255" s="28">
        <v>142457</v>
      </c>
      <c r="C1255" s="129" t="s">
        <v>1549</v>
      </c>
      <c r="D1255" s="128" t="s">
        <v>545</v>
      </c>
      <c r="E1255" s="128" t="s">
        <v>146</v>
      </c>
      <c r="F1255" s="29">
        <v>39078</v>
      </c>
      <c r="G1255" s="56" t="str">
        <f t="shared" ca="1" si="177"/>
        <v>Iniciado</v>
      </c>
      <c r="H1255" s="28">
        <f t="shared" ca="1" si="178"/>
        <v>14</v>
      </c>
      <c r="J1255" s="38" t="str">
        <f t="shared" si="172"/>
        <v>Filipa Raquel Barros</v>
      </c>
      <c r="K1255" s="39">
        <f t="shared" si="173"/>
        <v>1783</v>
      </c>
      <c r="L1255" s="39">
        <f t="shared" si="174"/>
        <v>142457</v>
      </c>
      <c r="M1255" s="40">
        <f t="shared" si="179"/>
        <v>39078</v>
      </c>
      <c r="N1255" s="41" t="str">
        <f t="shared" ca="1" si="180"/>
        <v>Iniciado</v>
      </c>
      <c r="O1255" s="41" t="str">
        <f t="shared" si="175"/>
        <v>F</v>
      </c>
      <c r="P1255" s="60" t="str">
        <f t="shared" si="176"/>
        <v>CEE-M</v>
      </c>
      <c r="Q1255" s="61"/>
    </row>
    <row r="1256" spans="1:17" ht="13">
      <c r="A1256" s="28">
        <v>282</v>
      </c>
      <c r="B1256" s="28">
        <v>128460</v>
      </c>
      <c r="C1256" s="129" t="s">
        <v>1361</v>
      </c>
      <c r="D1256" s="128" t="s">
        <v>97</v>
      </c>
      <c r="E1256" s="128" t="s">
        <v>146</v>
      </c>
      <c r="F1256" s="29">
        <v>32823</v>
      </c>
      <c r="G1256" s="56" t="str">
        <f t="shared" ca="1" si="177"/>
        <v>Sénior</v>
      </c>
      <c r="H1256" s="28">
        <f t="shared" ca="1" si="178"/>
        <v>31</v>
      </c>
      <c r="J1256" s="38" t="str">
        <f t="shared" si="172"/>
        <v>Cláudia Rodrigues</v>
      </c>
      <c r="K1256" s="39">
        <f t="shared" si="173"/>
        <v>282</v>
      </c>
      <c r="L1256" s="39">
        <f t="shared" si="174"/>
        <v>128460</v>
      </c>
      <c r="M1256" s="40">
        <f t="shared" si="179"/>
        <v>32823</v>
      </c>
      <c r="N1256" s="41" t="str">
        <f t="shared" ca="1" si="180"/>
        <v>Sénior</v>
      </c>
      <c r="O1256" s="41" t="str">
        <f t="shared" si="175"/>
        <v>F</v>
      </c>
      <c r="P1256" s="60" t="str">
        <f t="shared" si="176"/>
        <v>ADRAP</v>
      </c>
      <c r="Q1256" s="61"/>
    </row>
    <row r="1257" spans="1:17" ht="13">
      <c r="A1257" s="28">
        <v>283</v>
      </c>
      <c r="B1257" s="28">
        <v>127444</v>
      </c>
      <c r="C1257" s="129" t="s">
        <v>1006</v>
      </c>
      <c r="D1257" s="128" t="s">
        <v>123</v>
      </c>
      <c r="E1257" s="128" t="s">
        <v>146</v>
      </c>
      <c r="F1257" s="29">
        <v>35818</v>
      </c>
      <c r="G1257" s="56" t="str">
        <f t="shared" ca="1" si="177"/>
        <v>Sénior</v>
      </c>
      <c r="H1257" s="28">
        <f t="shared" ca="1" si="178"/>
        <v>23</v>
      </c>
      <c r="J1257" s="38" t="str">
        <f t="shared" si="172"/>
        <v>Catarina Queirós</v>
      </c>
      <c r="K1257" s="39">
        <f t="shared" si="173"/>
        <v>283</v>
      </c>
      <c r="L1257" s="39">
        <f t="shared" si="174"/>
        <v>127444</v>
      </c>
      <c r="M1257" s="40">
        <f t="shared" si="179"/>
        <v>35818</v>
      </c>
      <c r="N1257" s="41" t="str">
        <f t="shared" ca="1" si="180"/>
        <v>Sénior</v>
      </c>
      <c r="O1257" s="41" t="str">
        <f t="shared" si="175"/>
        <v>F</v>
      </c>
      <c r="P1257" s="60" t="str">
        <f t="shared" si="176"/>
        <v>AJS</v>
      </c>
      <c r="Q1257" s="61"/>
    </row>
    <row r="1258" spans="1:17" ht="13">
      <c r="A1258" s="28">
        <v>828</v>
      </c>
      <c r="B1258" s="28">
        <v>131500</v>
      </c>
      <c r="C1258" s="129" t="s">
        <v>649</v>
      </c>
      <c r="D1258" s="128" t="s">
        <v>671</v>
      </c>
      <c r="E1258" s="128" t="s">
        <v>145</v>
      </c>
      <c r="F1258" s="29">
        <v>21986</v>
      </c>
      <c r="G1258" s="56" t="str">
        <f t="shared" ca="1" si="177"/>
        <v>V 60</v>
      </c>
      <c r="H1258" s="28">
        <f t="shared" ca="1" si="178"/>
        <v>61</v>
      </c>
      <c r="J1258" s="38" t="str">
        <f t="shared" si="172"/>
        <v>Eleutério Luís</v>
      </c>
      <c r="K1258" s="39">
        <f t="shared" si="173"/>
        <v>828</v>
      </c>
      <c r="L1258" s="39">
        <f t="shared" si="174"/>
        <v>131500</v>
      </c>
      <c r="M1258" s="40">
        <f t="shared" si="179"/>
        <v>21986</v>
      </c>
      <c r="N1258" s="41" t="str">
        <f t="shared" ca="1" si="180"/>
        <v>V 60</v>
      </c>
      <c r="O1258" s="41" t="str">
        <f t="shared" si="175"/>
        <v>M</v>
      </c>
      <c r="P1258" s="60" t="str">
        <f t="shared" si="176"/>
        <v>VIP-RC</v>
      </c>
      <c r="Q1258" s="61"/>
    </row>
    <row r="1259" spans="1:17" ht="13">
      <c r="A1259" s="28">
        <v>827</v>
      </c>
      <c r="B1259" s="28">
        <v>141977</v>
      </c>
      <c r="C1259" s="129" t="s">
        <v>528</v>
      </c>
      <c r="D1259" s="128" t="s">
        <v>148</v>
      </c>
      <c r="E1259" s="128" t="s">
        <v>145</v>
      </c>
      <c r="F1259" s="29">
        <v>28863</v>
      </c>
      <c r="G1259" s="56" t="str">
        <f t="shared" ca="1" si="177"/>
        <v>V 40</v>
      </c>
      <c r="H1259" s="28">
        <f t="shared" ca="1" si="178"/>
        <v>42</v>
      </c>
      <c r="J1259" s="38" t="str">
        <f t="shared" si="172"/>
        <v>Dinarte Garcês</v>
      </c>
      <c r="K1259" s="39">
        <f t="shared" si="173"/>
        <v>827</v>
      </c>
      <c r="L1259" s="39">
        <f t="shared" si="174"/>
        <v>141977</v>
      </c>
      <c r="M1259" s="40">
        <f t="shared" si="179"/>
        <v>28863</v>
      </c>
      <c r="N1259" s="41" t="str">
        <f t="shared" ca="1" si="180"/>
        <v>V 40</v>
      </c>
      <c r="O1259" s="41" t="str">
        <f t="shared" si="175"/>
        <v>M</v>
      </c>
      <c r="P1259" s="60" t="str">
        <f t="shared" si="176"/>
        <v>IND-M</v>
      </c>
      <c r="Q1259" s="61"/>
    </row>
    <row r="1260" spans="1:17" ht="13">
      <c r="A1260" s="28">
        <v>2094</v>
      </c>
      <c r="B1260" s="28">
        <v>164531</v>
      </c>
      <c r="C1260" s="129" t="s">
        <v>1420</v>
      </c>
      <c r="D1260" s="128" t="s">
        <v>124</v>
      </c>
      <c r="E1260" s="128" t="s">
        <v>146</v>
      </c>
      <c r="F1260" s="29">
        <v>41901</v>
      </c>
      <c r="G1260" s="56" t="str">
        <f t="shared" ca="1" si="177"/>
        <v>Benjamim A</v>
      </c>
      <c r="H1260" s="28">
        <f t="shared" ca="1" si="178"/>
        <v>6</v>
      </c>
      <c r="J1260" s="38" t="str">
        <f t="shared" si="172"/>
        <v>Inês Silva</v>
      </c>
      <c r="K1260" s="39">
        <f t="shared" si="173"/>
        <v>2094</v>
      </c>
      <c r="L1260" s="39">
        <f t="shared" si="174"/>
        <v>164531</v>
      </c>
      <c r="M1260" s="40">
        <f t="shared" si="179"/>
        <v>41901</v>
      </c>
      <c r="N1260" s="41" t="str">
        <f t="shared" ca="1" si="180"/>
        <v>Benjamim A</v>
      </c>
      <c r="O1260" s="41" t="str">
        <f t="shared" si="175"/>
        <v>F</v>
      </c>
      <c r="P1260" s="60" t="str">
        <f t="shared" si="176"/>
        <v>CSM</v>
      </c>
      <c r="Q1260" s="61"/>
    </row>
    <row r="1261" spans="1:17" ht="13">
      <c r="A1261" s="28">
        <v>2031</v>
      </c>
      <c r="B1261" s="28">
        <v>156292</v>
      </c>
      <c r="C1261" s="129" t="s">
        <v>1051</v>
      </c>
      <c r="D1261" s="128" t="s">
        <v>123</v>
      </c>
      <c r="E1261" s="128" t="s">
        <v>145</v>
      </c>
      <c r="F1261" s="29">
        <v>39698</v>
      </c>
      <c r="G1261" s="56" t="str">
        <f t="shared" ca="1" si="177"/>
        <v>Infantil</v>
      </c>
      <c r="H1261" s="28">
        <f t="shared" ca="1" si="178"/>
        <v>12</v>
      </c>
      <c r="J1261" s="38" t="str">
        <f t="shared" si="172"/>
        <v>João M. Rodrigues</v>
      </c>
      <c r="K1261" s="39">
        <f t="shared" si="173"/>
        <v>2031</v>
      </c>
      <c r="L1261" s="39">
        <f t="shared" si="174"/>
        <v>156292</v>
      </c>
      <c r="M1261" s="40">
        <f t="shared" si="179"/>
        <v>39698</v>
      </c>
      <c r="N1261" s="41" t="str">
        <f t="shared" ca="1" si="180"/>
        <v>Infantil</v>
      </c>
      <c r="O1261" s="41" t="str">
        <f t="shared" si="175"/>
        <v>M</v>
      </c>
      <c r="P1261" s="60" t="str">
        <f t="shared" si="176"/>
        <v>AJS</v>
      </c>
      <c r="Q1261" s="61"/>
    </row>
    <row r="1262" spans="1:17" ht="13">
      <c r="A1262" s="28">
        <v>826</v>
      </c>
      <c r="B1262" s="28">
        <v>123418</v>
      </c>
      <c r="C1262" s="129" t="s">
        <v>1313</v>
      </c>
      <c r="D1262" s="128" t="s">
        <v>97</v>
      </c>
      <c r="E1262" s="128" t="s">
        <v>145</v>
      </c>
      <c r="F1262" s="29">
        <v>35594</v>
      </c>
      <c r="G1262" s="56" t="str">
        <f t="shared" ca="1" si="177"/>
        <v>Sénior</v>
      </c>
      <c r="H1262" s="28">
        <f t="shared" ca="1" si="178"/>
        <v>23</v>
      </c>
      <c r="J1262" s="38" t="str">
        <f t="shared" si="172"/>
        <v>Carlos Prino</v>
      </c>
      <c r="K1262" s="39">
        <f t="shared" si="173"/>
        <v>826</v>
      </c>
      <c r="L1262" s="39">
        <f t="shared" si="174"/>
        <v>123418</v>
      </c>
      <c r="M1262" s="40">
        <f t="shared" si="179"/>
        <v>35594</v>
      </c>
      <c r="N1262" s="41" t="str">
        <f t="shared" ca="1" si="180"/>
        <v>Sénior</v>
      </c>
      <c r="O1262" s="41" t="str">
        <f t="shared" si="175"/>
        <v>M</v>
      </c>
      <c r="P1262" s="60" t="str">
        <f t="shared" si="176"/>
        <v>ADRAP</v>
      </c>
      <c r="Q1262" s="61"/>
    </row>
    <row r="1263" spans="1:17" ht="13">
      <c r="A1263" s="28">
        <v>825</v>
      </c>
      <c r="B1263" s="28">
        <v>157325</v>
      </c>
      <c r="C1263" s="129" t="s">
        <v>1605</v>
      </c>
      <c r="D1263" s="128" t="s">
        <v>158</v>
      </c>
      <c r="E1263" s="128" t="s">
        <v>145</v>
      </c>
      <c r="F1263" s="29">
        <v>32664</v>
      </c>
      <c r="G1263" s="56" t="str">
        <f t="shared" ca="1" si="177"/>
        <v>Sénior</v>
      </c>
      <c r="H1263" s="28">
        <f t="shared" ca="1" si="178"/>
        <v>31</v>
      </c>
      <c r="J1263" s="38" t="str">
        <f t="shared" si="172"/>
        <v>Filipe Ferreira</v>
      </c>
      <c r="K1263" s="39">
        <f t="shared" si="173"/>
        <v>825</v>
      </c>
      <c r="L1263" s="39">
        <f t="shared" si="174"/>
        <v>157325</v>
      </c>
      <c r="M1263" s="40">
        <f t="shared" si="179"/>
        <v>32664</v>
      </c>
      <c r="N1263" s="41" t="str">
        <f t="shared" ca="1" si="180"/>
        <v>Sénior</v>
      </c>
      <c r="O1263" s="41" t="str">
        <f t="shared" si="175"/>
        <v>M</v>
      </c>
      <c r="P1263" s="60" t="str">
        <f t="shared" si="176"/>
        <v>CAMAD</v>
      </c>
      <c r="Q1263" s="61"/>
    </row>
    <row r="1264" spans="1:17" ht="13">
      <c r="A1264" s="28">
        <v>824</v>
      </c>
      <c r="B1264" s="28">
        <v>128341</v>
      </c>
      <c r="C1264" s="129" t="s">
        <v>207</v>
      </c>
      <c r="D1264" s="128" t="s">
        <v>158</v>
      </c>
      <c r="E1264" s="128" t="s">
        <v>145</v>
      </c>
      <c r="F1264" s="29">
        <v>30285</v>
      </c>
      <c r="G1264" s="56" t="str">
        <f t="shared" ca="1" si="177"/>
        <v>V 35</v>
      </c>
      <c r="H1264" s="28">
        <f t="shared" ca="1" si="178"/>
        <v>38</v>
      </c>
      <c r="J1264" s="38" t="str">
        <f t="shared" si="172"/>
        <v>Edson Pereira</v>
      </c>
      <c r="K1264" s="39">
        <f t="shared" si="173"/>
        <v>824</v>
      </c>
      <c r="L1264" s="39">
        <f t="shared" si="174"/>
        <v>128341</v>
      </c>
      <c r="M1264" s="40">
        <f t="shared" si="179"/>
        <v>30285</v>
      </c>
      <c r="N1264" s="41" t="str">
        <f t="shared" ca="1" si="180"/>
        <v>V 35</v>
      </c>
      <c r="O1264" s="41" t="str">
        <f t="shared" si="175"/>
        <v>M</v>
      </c>
      <c r="P1264" s="60" t="str">
        <f t="shared" si="176"/>
        <v>CAMAD</v>
      </c>
      <c r="Q1264" s="61"/>
    </row>
    <row r="1265" spans="1:17" ht="13">
      <c r="A1265" s="28">
        <v>823</v>
      </c>
      <c r="B1265" s="28">
        <v>146376</v>
      </c>
      <c r="C1265" s="129" t="s">
        <v>600</v>
      </c>
      <c r="D1265" s="128" t="s">
        <v>158</v>
      </c>
      <c r="E1265" s="128" t="s">
        <v>145</v>
      </c>
      <c r="F1265" s="29">
        <v>28407</v>
      </c>
      <c r="G1265" s="56" t="str">
        <f t="shared" ca="1" si="177"/>
        <v>V 40</v>
      </c>
      <c r="H1265" s="28">
        <f t="shared" ca="1" si="178"/>
        <v>43</v>
      </c>
      <c r="J1265" s="38" t="str">
        <f t="shared" si="172"/>
        <v>Daniel Pereira</v>
      </c>
      <c r="K1265" s="39">
        <f t="shared" si="173"/>
        <v>823</v>
      </c>
      <c r="L1265" s="39">
        <f t="shared" si="174"/>
        <v>146376</v>
      </c>
      <c r="M1265" s="40">
        <f t="shared" si="179"/>
        <v>28407</v>
      </c>
      <c r="N1265" s="41" t="str">
        <f t="shared" ca="1" si="180"/>
        <v>V 40</v>
      </c>
      <c r="O1265" s="41" t="str">
        <f t="shared" si="175"/>
        <v>M</v>
      </c>
      <c r="P1265" s="60" t="str">
        <f t="shared" si="176"/>
        <v>CAMAD</v>
      </c>
      <c r="Q1265" s="61"/>
    </row>
    <row r="1266" spans="1:17" ht="13">
      <c r="A1266" s="28">
        <v>285</v>
      </c>
      <c r="B1266" s="28">
        <v>131219</v>
      </c>
      <c r="C1266" s="129" t="s">
        <v>205</v>
      </c>
      <c r="D1266" s="128" t="s">
        <v>158</v>
      </c>
      <c r="E1266" s="128" t="s">
        <v>146</v>
      </c>
      <c r="F1266" s="29">
        <v>29171</v>
      </c>
      <c r="G1266" s="56" t="str">
        <f t="shared" ca="1" si="177"/>
        <v>V 40</v>
      </c>
      <c r="H1266" s="28">
        <f t="shared" ca="1" si="178"/>
        <v>41</v>
      </c>
      <c r="J1266" s="38" t="str">
        <f t="shared" si="172"/>
        <v>Rosalina Gouveia</v>
      </c>
      <c r="K1266" s="39">
        <f t="shared" si="173"/>
        <v>285</v>
      </c>
      <c r="L1266" s="39">
        <f t="shared" si="174"/>
        <v>131219</v>
      </c>
      <c r="M1266" s="40">
        <f t="shared" si="179"/>
        <v>29171</v>
      </c>
      <c r="N1266" s="41" t="str">
        <f t="shared" ca="1" si="180"/>
        <v>V 40</v>
      </c>
      <c r="O1266" s="41" t="str">
        <f t="shared" si="175"/>
        <v>F</v>
      </c>
      <c r="P1266" s="60" t="str">
        <f t="shared" si="176"/>
        <v>CAMAD</v>
      </c>
      <c r="Q1266" s="61"/>
    </row>
    <row r="1267" spans="1:17" ht="13">
      <c r="A1267" s="28">
        <v>284</v>
      </c>
      <c r="B1267" s="28">
        <v>133049</v>
      </c>
      <c r="C1267" s="129" t="s">
        <v>176</v>
      </c>
      <c r="D1267" s="128" t="s">
        <v>97</v>
      </c>
      <c r="E1267" s="128" t="s">
        <v>146</v>
      </c>
      <c r="F1267" s="29">
        <v>28984</v>
      </c>
      <c r="G1267" s="56" t="str">
        <f t="shared" ca="1" si="177"/>
        <v>V 40</v>
      </c>
      <c r="H1267" s="28">
        <f t="shared" ca="1" si="178"/>
        <v>41</v>
      </c>
      <c r="J1267" s="38" t="str">
        <f t="shared" si="172"/>
        <v>Telma Alves</v>
      </c>
      <c r="K1267" s="39">
        <f t="shared" si="173"/>
        <v>284</v>
      </c>
      <c r="L1267" s="39">
        <f t="shared" si="174"/>
        <v>133049</v>
      </c>
      <c r="M1267" s="40">
        <f t="shared" si="179"/>
        <v>28984</v>
      </c>
      <c r="N1267" s="41" t="str">
        <f t="shared" ca="1" si="180"/>
        <v>V 40</v>
      </c>
      <c r="O1267" s="41" t="str">
        <f t="shared" si="175"/>
        <v>F</v>
      </c>
      <c r="P1267" s="60" t="str">
        <f t="shared" si="176"/>
        <v>ADRAP</v>
      </c>
      <c r="Q1267" s="61"/>
    </row>
    <row r="1268" spans="1:17" ht="13">
      <c r="A1268" s="28">
        <v>822</v>
      </c>
      <c r="B1268" s="28">
        <v>130899</v>
      </c>
      <c r="C1268" s="129" t="s">
        <v>96</v>
      </c>
      <c r="D1268" s="128" t="s">
        <v>97</v>
      </c>
      <c r="E1268" s="128" t="s">
        <v>145</v>
      </c>
      <c r="F1268" s="29">
        <v>33895</v>
      </c>
      <c r="G1268" s="56" t="str">
        <f t="shared" ca="1" si="177"/>
        <v>Sénior</v>
      </c>
      <c r="H1268" s="28">
        <f t="shared" ca="1" si="178"/>
        <v>28</v>
      </c>
      <c r="J1268" s="38" t="str">
        <f t="shared" si="172"/>
        <v>Ulisses Tavares</v>
      </c>
      <c r="K1268" s="39">
        <f t="shared" si="173"/>
        <v>822</v>
      </c>
      <c r="L1268" s="39">
        <f t="shared" si="174"/>
        <v>130899</v>
      </c>
      <c r="M1268" s="40">
        <f t="shared" si="179"/>
        <v>33895</v>
      </c>
      <c r="N1268" s="41" t="str">
        <f t="shared" ca="1" si="180"/>
        <v>Sénior</v>
      </c>
      <c r="O1268" s="41" t="str">
        <f t="shared" si="175"/>
        <v>M</v>
      </c>
      <c r="P1268" s="60" t="str">
        <f t="shared" si="176"/>
        <v>ADRAP</v>
      </c>
      <c r="Q1268" s="61"/>
    </row>
    <row r="1269" spans="1:17" ht="13">
      <c r="A1269" s="28">
        <v>1699</v>
      </c>
      <c r="B1269" s="28">
        <v>134377</v>
      </c>
      <c r="C1269" s="129" t="s">
        <v>728</v>
      </c>
      <c r="D1269" s="128" t="s">
        <v>97</v>
      </c>
      <c r="E1269" s="128" t="s">
        <v>145</v>
      </c>
      <c r="F1269" s="29">
        <v>37667</v>
      </c>
      <c r="G1269" s="56" t="str">
        <f t="shared" ca="1" si="177"/>
        <v>Júnior</v>
      </c>
      <c r="H1269" s="28">
        <f t="shared" ca="1" si="178"/>
        <v>18</v>
      </c>
      <c r="J1269" s="38" t="str">
        <f t="shared" si="172"/>
        <v>Manuel Vieira</v>
      </c>
      <c r="K1269" s="39">
        <f t="shared" si="173"/>
        <v>1699</v>
      </c>
      <c r="L1269" s="39">
        <f t="shared" si="174"/>
        <v>134377</v>
      </c>
      <c r="M1269" s="40">
        <f t="shared" si="179"/>
        <v>37667</v>
      </c>
      <c r="N1269" s="41" t="str">
        <f t="shared" ca="1" si="180"/>
        <v>Júnior</v>
      </c>
      <c r="O1269" s="41" t="str">
        <f t="shared" si="175"/>
        <v>M</v>
      </c>
      <c r="P1269" s="60" t="str">
        <f t="shared" si="176"/>
        <v>ADRAP</v>
      </c>
      <c r="Q1269" s="61"/>
    </row>
    <row r="1270" spans="1:17" ht="13">
      <c r="A1270" s="28">
        <v>821</v>
      </c>
      <c r="B1270" s="28">
        <v>125475</v>
      </c>
      <c r="C1270" s="129" t="s">
        <v>1521</v>
      </c>
      <c r="D1270" s="128" t="s">
        <v>125</v>
      </c>
      <c r="E1270" s="128" t="s">
        <v>145</v>
      </c>
      <c r="F1270" s="29">
        <v>27490</v>
      </c>
      <c r="G1270" s="56" t="str">
        <f t="shared" ca="1" si="177"/>
        <v>V 45</v>
      </c>
      <c r="H1270" s="28">
        <f t="shared" ca="1" si="178"/>
        <v>46</v>
      </c>
      <c r="J1270" s="38" t="str">
        <f t="shared" si="172"/>
        <v>Luís Gil</v>
      </c>
      <c r="K1270" s="39">
        <f t="shared" si="173"/>
        <v>821</v>
      </c>
      <c r="L1270" s="39">
        <f t="shared" si="174"/>
        <v>125475</v>
      </c>
      <c r="M1270" s="40">
        <f t="shared" si="179"/>
        <v>27490</v>
      </c>
      <c r="N1270" s="41" t="str">
        <f t="shared" ca="1" si="180"/>
        <v>V 45</v>
      </c>
      <c r="O1270" s="41" t="str">
        <f t="shared" si="175"/>
        <v>M</v>
      </c>
      <c r="P1270" s="60" t="str">
        <f t="shared" si="176"/>
        <v>GDE</v>
      </c>
      <c r="Q1270" s="61"/>
    </row>
    <row r="1271" spans="1:17" ht="13">
      <c r="A1271" s="28">
        <v>820</v>
      </c>
      <c r="B1271" s="28">
        <v>135699</v>
      </c>
      <c r="C1271" s="129" t="s">
        <v>1344</v>
      </c>
      <c r="D1271" s="128" t="s">
        <v>124</v>
      </c>
      <c r="E1271" s="128" t="s">
        <v>145</v>
      </c>
      <c r="F1271" s="29">
        <v>36894</v>
      </c>
      <c r="G1271" s="56" t="str">
        <f t="shared" ca="1" si="177"/>
        <v>sub 23</v>
      </c>
      <c r="H1271" s="28">
        <f t="shared" ca="1" si="178"/>
        <v>20</v>
      </c>
      <c r="J1271" s="38" t="str">
        <f t="shared" si="172"/>
        <v>Guilherme Neves</v>
      </c>
      <c r="K1271" s="39">
        <f t="shared" si="173"/>
        <v>820</v>
      </c>
      <c r="L1271" s="39">
        <f t="shared" si="174"/>
        <v>135699</v>
      </c>
      <c r="M1271" s="40">
        <f t="shared" si="179"/>
        <v>36894</v>
      </c>
      <c r="N1271" s="41" t="str">
        <f t="shared" ca="1" si="180"/>
        <v>sub 23</v>
      </c>
      <c r="O1271" s="41" t="str">
        <f t="shared" si="175"/>
        <v>M</v>
      </c>
      <c r="P1271" s="60" t="str">
        <f t="shared" si="176"/>
        <v>CSM</v>
      </c>
      <c r="Q1271" s="61"/>
    </row>
    <row r="1272" spans="1:17" ht="13">
      <c r="A1272" s="28">
        <v>819</v>
      </c>
      <c r="B1272" s="28">
        <v>129239</v>
      </c>
      <c r="C1272" s="129" t="s">
        <v>852</v>
      </c>
      <c r="D1272" s="128" t="s">
        <v>97</v>
      </c>
      <c r="E1272" s="128" t="s">
        <v>145</v>
      </c>
      <c r="F1272" s="29">
        <v>35244</v>
      </c>
      <c r="G1272" s="56" t="str">
        <f t="shared" ca="1" si="177"/>
        <v>Sénior</v>
      </c>
      <c r="H1272" s="28">
        <f t="shared" ca="1" si="178"/>
        <v>24</v>
      </c>
      <c r="J1272" s="38" t="str">
        <f t="shared" si="172"/>
        <v>Pedro Martins</v>
      </c>
      <c r="K1272" s="39">
        <f t="shared" si="173"/>
        <v>819</v>
      </c>
      <c r="L1272" s="39">
        <f t="shared" si="174"/>
        <v>129239</v>
      </c>
      <c r="M1272" s="40">
        <f t="shared" si="179"/>
        <v>35244</v>
      </c>
      <c r="N1272" s="41" t="str">
        <f t="shared" ca="1" si="180"/>
        <v>Sénior</v>
      </c>
      <c r="O1272" s="41" t="str">
        <f t="shared" si="175"/>
        <v>M</v>
      </c>
      <c r="P1272" s="60" t="str">
        <f t="shared" si="176"/>
        <v>ADRAP</v>
      </c>
      <c r="Q1272" s="61"/>
    </row>
    <row r="1273" spans="1:17" ht="13">
      <c r="A1273" s="28">
        <v>818</v>
      </c>
      <c r="B1273" s="28">
        <v>123291</v>
      </c>
      <c r="C1273" s="129" t="s">
        <v>1196</v>
      </c>
      <c r="D1273" s="128" t="s">
        <v>97</v>
      </c>
      <c r="E1273" s="128" t="s">
        <v>145</v>
      </c>
      <c r="F1273" s="29">
        <v>35908</v>
      </c>
      <c r="G1273" s="56" t="str">
        <f t="shared" ca="1" si="177"/>
        <v>Sénior</v>
      </c>
      <c r="H1273" s="28">
        <f t="shared" ca="1" si="178"/>
        <v>22</v>
      </c>
      <c r="J1273" s="38" t="str">
        <f t="shared" si="172"/>
        <v>Miguel Tapadas</v>
      </c>
      <c r="K1273" s="39">
        <f t="shared" si="173"/>
        <v>818</v>
      </c>
      <c r="L1273" s="39">
        <f t="shared" si="174"/>
        <v>123291</v>
      </c>
      <c r="M1273" s="40">
        <f t="shared" si="179"/>
        <v>35908</v>
      </c>
      <c r="N1273" s="41" t="str">
        <f t="shared" ca="1" si="180"/>
        <v>Sénior</v>
      </c>
      <c r="O1273" s="41" t="str">
        <f t="shared" si="175"/>
        <v>M</v>
      </c>
      <c r="P1273" s="60" t="str">
        <f t="shared" si="176"/>
        <v>ADRAP</v>
      </c>
      <c r="Q1273" s="61"/>
    </row>
    <row r="1274" spans="1:17" ht="13">
      <c r="A1274" s="28">
        <v>817</v>
      </c>
      <c r="B1274" s="28">
        <v>149711</v>
      </c>
      <c r="C1274" s="129" t="s">
        <v>910</v>
      </c>
      <c r="D1274" s="128" t="s">
        <v>123</v>
      </c>
      <c r="E1274" s="128" t="s">
        <v>145</v>
      </c>
      <c r="F1274" s="29">
        <v>30119</v>
      </c>
      <c r="G1274" s="56" t="str">
        <f t="shared" ca="1" si="177"/>
        <v>V 35</v>
      </c>
      <c r="H1274" s="28">
        <f t="shared" ca="1" si="178"/>
        <v>38</v>
      </c>
      <c r="J1274" s="38" t="str">
        <f t="shared" si="172"/>
        <v>José M. Abreu</v>
      </c>
      <c r="K1274" s="39">
        <f t="shared" si="173"/>
        <v>817</v>
      </c>
      <c r="L1274" s="39">
        <f t="shared" si="174"/>
        <v>149711</v>
      </c>
      <c r="M1274" s="40">
        <f t="shared" si="179"/>
        <v>30119</v>
      </c>
      <c r="N1274" s="41" t="str">
        <f t="shared" ca="1" si="180"/>
        <v>V 35</v>
      </c>
      <c r="O1274" s="41" t="str">
        <f t="shared" si="175"/>
        <v>M</v>
      </c>
      <c r="P1274" s="60" t="str">
        <f t="shared" si="176"/>
        <v>AJS</v>
      </c>
      <c r="Q1274" s="61"/>
    </row>
    <row r="1275" spans="1:17" ht="13">
      <c r="A1275" s="28">
        <v>816</v>
      </c>
      <c r="B1275" s="28">
        <v>131477</v>
      </c>
      <c r="C1275" s="129" t="s">
        <v>277</v>
      </c>
      <c r="D1275" s="128" t="s">
        <v>166</v>
      </c>
      <c r="E1275" s="128" t="s">
        <v>145</v>
      </c>
      <c r="F1275" s="29">
        <v>25953</v>
      </c>
      <c r="G1275" s="56" t="str">
        <f t="shared" ca="1" si="177"/>
        <v>V 50</v>
      </c>
      <c r="H1275" s="28">
        <f t="shared" ca="1" si="178"/>
        <v>50</v>
      </c>
      <c r="J1275" s="38" t="str">
        <f t="shared" si="172"/>
        <v>Abel França</v>
      </c>
      <c r="K1275" s="39">
        <f t="shared" si="173"/>
        <v>816</v>
      </c>
      <c r="L1275" s="39">
        <f t="shared" si="174"/>
        <v>131477</v>
      </c>
      <c r="M1275" s="40">
        <f t="shared" si="179"/>
        <v>25953</v>
      </c>
      <c r="N1275" s="41" t="str">
        <f t="shared" ca="1" si="180"/>
        <v>V 50</v>
      </c>
      <c r="O1275" s="41" t="str">
        <f t="shared" si="175"/>
        <v>M</v>
      </c>
      <c r="P1275" s="60" t="str">
        <f t="shared" si="176"/>
        <v>CPPM</v>
      </c>
      <c r="Q1275" s="61"/>
    </row>
    <row r="1276" spans="1:17" ht="13">
      <c r="A1276" s="28">
        <v>815</v>
      </c>
      <c r="B1276" s="28">
        <v>131169</v>
      </c>
      <c r="C1276" s="129" t="s">
        <v>281</v>
      </c>
      <c r="D1276" s="128" t="s">
        <v>166</v>
      </c>
      <c r="E1276" s="128" t="s">
        <v>145</v>
      </c>
      <c r="F1276" s="29">
        <v>27373</v>
      </c>
      <c r="G1276" s="56" t="str">
        <f t="shared" ca="1" si="177"/>
        <v>V 45</v>
      </c>
      <c r="H1276" s="28">
        <f t="shared" ca="1" si="178"/>
        <v>46</v>
      </c>
      <c r="J1276" s="38" t="str">
        <f t="shared" si="172"/>
        <v>Roberto Sousa</v>
      </c>
      <c r="K1276" s="39">
        <f t="shared" si="173"/>
        <v>815</v>
      </c>
      <c r="L1276" s="39">
        <f t="shared" si="174"/>
        <v>131169</v>
      </c>
      <c r="M1276" s="40">
        <f t="shared" si="179"/>
        <v>27373</v>
      </c>
      <c r="N1276" s="41" t="str">
        <f t="shared" ca="1" si="180"/>
        <v>V 45</v>
      </c>
      <c r="O1276" s="41" t="str">
        <f t="shared" si="175"/>
        <v>M</v>
      </c>
      <c r="P1276" s="60" t="str">
        <f t="shared" si="176"/>
        <v>CPPM</v>
      </c>
      <c r="Q1276" s="61"/>
    </row>
    <row r="1277" spans="1:17" ht="13">
      <c r="A1277" s="28">
        <v>814</v>
      </c>
      <c r="B1277" s="28">
        <v>125625</v>
      </c>
      <c r="C1277" s="129" t="s">
        <v>1384</v>
      </c>
      <c r="D1277" s="128" t="s">
        <v>125</v>
      </c>
      <c r="E1277" s="128" t="s">
        <v>145</v>
      </c>
      <c r="F1277" s="29">
        <v>32874</v>
      </c>
      <c r="G1277" s="56" t="str">
        <f t="shared" ca="1" si="177"/>
        <v>Sénior</v>
      </c>
      <c r="H1277" s="28">
        <f t="shared" ca="1" si="178"/>
        <v>31</v>
      </c>
      <c r="J1277" s="38" t="str">
        <f t="shared" si="172"/>
        <v>João Alexandre</v>
      </c>
      <c r="K1277" s="39">
        <f t="shared" si="173"/>
        <v>814</v>
      </c>
      <c r="L1277" s="39">
        <f t="shared" si="174"/>
        <v>125625</v>
      </c>
      <c r="M1277" s="40">
        <f t="shared" si="179"/>
        <v>32874</v>
      </c>
      <c r="N1277" s="41" t="str">
        <f t="shared" ca="1" si="180"/>
        <v>Sénior</v>
      </c>
      <c r="O1277" s="41" t="str">
        <f t="shared" si="175"/>
        <v>M</v>
      </c>
      <c r="P1277" s="60" t="str">
        <f t="shared" si="176"/>
        <v>GDE</v>
      </c>
      <c r="Q1277" s="61"/>
    </row>
    <row r="1278" spans="1:17" ht="13">
      <c r="A1278" s="28">
        <v>286</v>
      </c>
      <c r="B1278" s="28">
        <v>124851</v>
      </c>
      <c r="C1278" s="129" t="s">
        <v>1401</v>
      </c>
      <c r="D1278" s="128" t="s">
        <v>97</v>
      </c>
      <c r="E1278" s="128" t="s">
        <v>146</v>
      </c>
      <c r="F1278" s="29">
        <v>34969</v>
      </c>
      <c r="G1278" s="56" t="str">
        <f t="shared" ca="1" si="177"/>
        <v>Sénior</v>
      </c>
      <c r="H1278" s="28">
        <f t="shared" ca="1" si="178"/>
        <v>25</v>
      </c>
      <c r="J1278" s="38" t="str">
        <f t="shared" si="172"/>
        <v>Sara Inácio</v>
      </c>
      <c r="K1278" s="39">
        <f t="shared" si="173"/>
        <v>286</v>
      </c>
      <c r="L1278" s="39">
        <f t="shared" si="174"/>
        <v>124851</v>
      </c>
      <c r="M1278" s="40">
        <f t="shared" si="179"/>
        <v>34969</v>
      </c>
      <c r="N1278" s="41" t="str">
        <f t="shared" ca="1" si="180"/>
        <v>Sénior</v>
      </c>
      <c r="O1278" s="41" t="str">
        <f t="shared" si="175"/>
        <v>F</v>
      </c>
      <c r="P1278" s="60" t="str">
        <f t="shared" si="176"/>
        <v>ADRAP</v>
      </c>
      <c r="Q1278" s="61"/>
    </row>
    <row r="1279" spans="1:17" ht="13">
      <c r="A1279" s="28">
        <v>287</v>
      </c>
      <c r="B1279" s="28">
        <v>129610</v>
      </c>
      <c r="C1279" s="129" t="s">
        <v>1349</v>
      </c>
      <c r="D1279" s="128" t="s">
        <v>97</v>
      </c>
      <c r="E1279" s="128" t="s">
        <v>146</v>
      </c>
      <c r="F1279" s="29">
        <v>33416</v>
      </c>
      <c r="G1279" s="56" t="str">
        <f t="shared" ca="1" si="177"/>
        <v>Sénior</v>
      </c>
      <c r="H1279" s="28">
        <f t="shared" ca="1" si="178"/>
        <v>29</v>
      </c>
      <c r="J1279" s="38" t="str">
        <f t="shared" si="172"/>
        <v>Mónica S. Silva</v>
      </c>
      <c r="K1279" s="39">
        <f t="shared" si="173"/>
        <v>287</v>
      </c>
      <c r="L1279" s="39">
        <f t="shared" si="174"/>
        <v>129610</v>
      </c>
      <c r="M1279" s="40">
        <f t="shared" si="179"/>
        <v>33416</v>
      </c>
      <c r="N1279" s="41" t="str">
        <f t="shared" ca="1" si="180"/>
        <v>Sénior</v>
      </c>
      <c r="O1279" s="41" t="str">
        <f t="shared" si="175"/>
        <v>F</v>
      </c>
      <c r="P1279" s="60" t="str">
        <f t="shared" si="176"/>
        <v>ADRAP</v>
      </c>
      <c r="Q1279" s="61"/>
    </row>
    <row r="1280" spans="1:17" ht="13">
      <c r="A1280" s="28">
        <v>813</v>
      </c>
      <c r="B1280" s="28">
        <v>123613</v>
      </c>
      <c r="C1280" s="129" t="s">
        <v>1378</v>
      </c>
      <c r="D1280" s="128" t="s">
        <v>125</v>
      </c>
      <c r="E1280" s="128" t="s">
        <v>145</v>
      </c>
      <c r="F1280" s="29">
        <v>34459</v>
      </c>
      <c r="G1280" s="56" t="str">
        <f t="shared" ca="1" si="177"/>
        <v>Sénior</v>
      </c>
      <c r="H1280" s="28">
        <f t="shared" ca="1" si="178"/>
        <v>26</v>
      </c>
      <c r="J1280" s="38" t="str">
        <f t="shared" si="172"/>
        <v>Edgar Remédios</v>
      </c>
      <c r="K1280" s="39">
        <f t="shared" si="173"/>
        <v>813</v>
      </c>
      <c r="L1280" s="39">
        <f t="shared" si="174"/>
        <v>123613</v>
      </c>
      <c r="M1280" s="40">
        <f t="shared" si="179"/>
        <v>34459</v>
      </c>
      <c r="N1280" s="41" t="str">
        <f t="shared" ca="1" si="180"/>
        <v>Sénior</v>
      </c>
      <c r="O1280" s="41" t="str">
        <f t="shared" si="175"/>
        <v>M</v>
      </c>
      <c r="P1280" s="60" t="str">
        <f t="shared" si="176"/>
        <v>GDE</v>
      </c>
      <c r="Q1280" s="61"/>
    </row>
    <row r="1281" spans="1:17" ht="13">
      <c r="A1281" s="28">
        <v>288</v>
      </c>
      <c r="B1281" s="28">
        <v>129516</v>
      </c>
      <c r="C1281" s="129" t="s">
        <v>1138</v>
      </c>
      <c r="D1281" s="128" t="s">
        <v>124</v>
      </c>
      <c r="E1281" s="128" t="s">
        <v>146</v>
      </c>
      <c r="F1281" s="29">
        <v>35441</v>
      </c>
      <c r="G1281" s="56" t="str">
        <f t="shared" ca="1" si="177"/>
        <v>Sénior</v>
      </c>
      <c r="H1281" s="28">
        <f t="shared" ca="1" si="178"/>
        <v>24</v>
      </c>
      <c r="J1281" s="38" t="str">
        <f t="shared" si="172"/>
        <v>Ana Rodrigues</v>
      </c>
      <c r="K1281" s="39">
        <f t="shared" si="173"/>
        <v>288</v>
      </c>
      <c r="L1281" s="39">
        <f t="shared" si="174"/>
        <v>129516</v>
      </c>
      <c r="M1281" s="40">
        <f t="shared" si="179"/>
        <v>35441</v>
      </c>
      <c r="N1281" s="41" t="str">
        <f t="shared" ca="1" si="180"/>
        <v>Sénior</v>
      </c>
      <c r="O1281" s="41" t="str">
        <f t="shared" si="175"/>
        <v>F</v>
      </c>
      <c r="P1281" s="60" t="str">
        <f t="shared" si="176"/>
        <v>CSM</v>
      </c>
      <c r="Q1281" s="61"/>
    </row>
    <row r="1282" spans="1:17" ht="13">
      <c r="A1282" s="28">
        <v>289</v>
      </c>
      <c r="B1282" s="28">
        <v>130399</v>
      </c>
      <c r="C1282" s="129" t="s">
        <v>1402</v>
      </c>
      <c r="D1282" s="128" t="s">
        <v>124</v>
      </c>
      <c r="E1282" s="128" t="s">
        <v>146</v>
      </c>
      <c r="F1282" s="29">
        <v>33372</v>
      </c>
      <c r="G1282" s="56" t="str">
        <f t="shared" ca="1" si="177"/>
        <v>Sénior</v>
      </c>
      <c r="H1282" s="28">
        <f t="shared" ca="1" si="178"/>
        <v>29</v>
      </c>
      <c r="J1282" s="38" t="str">
        <f t="shared" ref="J1282:J1345" si="181">C1282</f>
        <v>Miriam Tavares</v>
      </c>
      <c r="K1282" s="39">
        <f t="shared" ref="K1282:K1345" si="182">A1282</f>
        <v>289</v>
      </c>
      <c r="L1282" s="39">
        <f t="shared" ref="L1282:L1345" si="183">B1282</f>
        <v>130399</v>
      </c>
      <c r="M1282" s="40">
        <f t="shared" si="179"/>
        <v>33372</v>
      </c>
      <c r="N1282" s="41" t="str">
        <f t="shared" ca="1" si="180"/>
        <v>Sénior</v>
      </c>
      <c r="O1282" s="41" t="str">
        <f t="shared" ref="O1282:O1345" si="184">E1282</f>
        <v>F</v>
      </c>
      <c r="P1282" s="60" t="str">
        <f t="shared" ref="P1282:P1345" si="185">D1282</f>
        <v>CSM</v>
      </c>
      <c r="Q1282" s="61"/>
    </row>
    <row r="1283" spans="1:17" ht="13">
      <c r="A1283" s="28">
        <v>2095</v>
      </c>
      <c r="B1283" s="28">
        <v>164790</v>
      </c>
      <c r="C1283" s="129" t="s">
        <v>1637</v>
      </c>
      <c r="D1283" s="128" t="s">
        <v>1646</v>
      </c>
      <c r="E1283" s="128" t="s">
        <v>146</v>
      </c>
      <c r="F1283" s="29">
        <v>41766</v>
      </c>
      <c r="G1283" s="5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B",IF(YEAR(TODAY())-YEAR(F1283)&lt;14,"Infantil",IF(YEAR(TODAY())-YEAR(F1283)&lt;16,"Iniciado",IF(YEAR(TODAY())-YEAR(F1283)&lt;18,"Juvenil",IF(YEAR(TODAY())-YEAR(F1283)&lt;20,"Júnior",IF(YEAR(TODAY())-YEAR(F1283)&lt;23,"sub 23",IF(ROUNDDOWN(INT(TODAY()-F1283)/365.25,0)&lt;35,"Sénior",IF(ROUNDDOWN(INT(TODAY()-F1283)/365.25,0)&lt;40,"V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65",IF(ROUNDDOWN(INT(TODAY()-F1283)/365.25,0)&lt;75,"V 70",IF(ROUNDDOWN(INT(TODAY()-F1283)/365.25,0)&lt;80,"V 75",IF(ROUNDDOWN(INT(TODAY()-F1283)/365.25,0)&lt;85,"V 80",IF(ROUNDDOWN(INT(TODAY()-F1283)/365.25,0)&lt;90,"V 85",IF(ROUNDDOWN(INT(TODAY()-F1283)/365.25,0)&lt;95,"V 90",IF(ROUNDDOWN(INT(TODAY()-F1283)/365.25,0)&lt;100,"V 95",IF(ROUNDDOWN(INT(TODAY()-F1283)/365.25,0)&gt;=100,"V 100",""))))))))))))))))))))))),"")</f>
        <v>Benjamim A</v>
      </c>
      <c r="H1283" s="28">
        <f t="shared" ref="H1283:H1346" ca="1" si="187">IFERROR(IF($A1283&gt;0,ROUNDDOWN(INT(TODAY()-F1283)/365.25,0),""),"")</f>
        <v>6</v>
      </c>
      <c r="J1283" s="38" t="str">
        <f t="shared" si="181"/>
        <v>Margarida Sá</v>
      </c>
      <c r="K1283" s="39">
        <f t="shared" si="182"/>
        <v>2095</v>
      </c>
      <c r="L1283" s="39">
        <f t="shared" si="183"/>
        <v>164790</v>
      </c>
      <c r="M1283" s="40">
        <f t="shared" ref="M1283:M1346" si="188">F1283</f>
        <v>41766</v>
      </c>
      <c r="N1283" s="41" t="str">
        <f t="shared" ref="N1283:N1293" ca="1" si="189">G1283</f>
        <v>Benjamim A</v>
      </c>
      <c r="O1283" s="41" t="str">
        <f t="shared" si="184"/>
        <v>F</v>
      </c>
      <c r="P1283" s="60" t="str">
        <f t="shared" si="185"/>
        <v>AAM-M</v>
      </c>
      <c r="Q1283" s="61"/>
    </row>
    <row r="1284" spans="1:17" ht="13">
      <c r="A1284" s="28">
        <v>290</v>
      </c>
      <c r="B1284" s="28">
        <v>146480</v>
      </c>
      <c r="C1284" s="129" t="s">
        <v>1147</v>
      </c>
      <c r="D1284" s="128" t="s">
        <v>156</v>
      </c>
      <c r="E1284" s="128" t="s">
        <v>146</v>
      </c>
      <c r="F1284" s="29">
        <v>24683</v>
      </c>
      <c r="G1284" s="56" t="str">
        <f t="shared" ca="1" si="186"/>
        <v>V 50</v>
      </c>
      <c r="H1284" s="28">
        <f t="shared" ca="1" si="187"/>
        <v>53</v>
      </c>
      <c r="J1284" s="38" t="str">
        <f t="shared" si="181"/>
        <v>Ana Paula Rodrigues</v>
      </c>
      <c r="K1284" s="39">
        <f t="shared" si="182"/>
        <v>290</v>
      </c>
      <c r="L1284" s="39">
        <f t="shared" si="183"/>
        <v>146480</v>
      </c>
      <c r="M1284" s="40">
        <f t="shared" si="188"/>
        <v>24683</v>
      </c>
      <c r="N1284" s="41" t="str">
        <f t="shared" ca="1" si="189"/>
        <v>V 50</v>
      </c>
      <c r="O1284" s="41" t="str">
        <f t="shared" si="184"/>
        <v>F</v>
      </c>
      <c r="P1284" s="60" t="str">
        <f t="shared" si="185"/>
        <v>CCDCMF</v>
      </c>
      <c r="Q1284" s="61"/>
    </row>
    <row r="1285" spans="1:17" ht="13">
      <c r="A1285" s="28">
        <v>291</v>
      </c>
      <c r="B1285" s="28">
        <v>146398</v>
      </c>
      <c r="C1285" s="129" t="s">
        <v>617</v>
      </c>
      <c r="D1285" s="128" t="s">
        <v>156</v>
      </c>
      <c r="E1285" s="128" t="s">
        <v>146</v>
      </c>
      <c r="F1285" s="29">
        <v>29199</v>
      </c>
      <c r="G1285" s="56" t="str">
        <f t="shared" ca="1" si="186"/>
        <v>V 40</v>
      </c>
      <c r="H1285" s="28">
        <f t="shared" ca="1" si="187"/>
        <v>41</v>
      </c>
      <c r="J1285" s="38" t="str">
        <f t="shared" si="181"/>
        <v>Ana Bela Franco</v>
      </c>
      <c r="K1285" s="39">
        <f t="shared" si="182"/>
        <v>291</v>
      </c>
      <c r="L1285" s="39">
        <f t="shared" si="183"/>
        <v>146398</v>
      </c>
      <c r="M1285" s="40">
        <f t="shared" si="188"/>
        <v>29199</v>
      </c>
      <c r="N1285" s="41" t="str">
        <f t="shared" ca="1" si="189"/>
        <v>V 40</v>
      </c>
      <c r="O1285" s="41" t="str">
        <f t="shared" si="184"/>
        <v>F</v>
      </c>
      <c r="P1285" s="60" t="str">
        <f t="shared" si="185"/>
        <v>CCDCMF</v>
      </c>
      <c r="Q1285" s="61"/>
    </row>
    <row r="1286" spans="1:17" ht="13">
      <c r="A1286" s="28">
        <v>292</v>
      </c>
      <c r="B1286" s="28">
        <v>146295</v>
      </c>
      <c r="C1286" s="129" t="s">
        <v>618</v>
      </c>
      <c r="D1286" s="128" t="s">
        <v>156</v>
      </c>
      <c r="E1286" s="128" t="s">
        <v>146</v>
      </c>
      <c r="F1286" s="29">
        <v>26040</v>
      </c>
      <c r="G1286" s="56" t="str">
        <f t="shared" ca="1" si="186"/>
        <v>V 50</v>
      </c>
      <c r="H1286" s="28">
        <f t="shared" ca="1" si="187"/>
        <v>50</v>
      </c>
      <c r="J1286" s="38" t="str">
        <f t="shared" si="181"/>
        <v>Fátima Ferreira</v>
      </c>
      <c r="K1286" s="39">
        <f t="shared" si="182"/>
        <v>292</v>
      </c>
      <c r="L1286" s="39">
        <f t="shared" si="183"/>
        <v>146295</v>
      </c>
      <c r="M1286" s="40">
        <f t="shared" si="188"/>
        <v>26040</v>
      </c>
      <c r="N1286" s="41" t="str">
        <f t="shared" ca="1" si="189"/>
        <v>V 50</v>
      </c>
      <c r="O1286" s="41" t="str">
        <f t="shared" si="184"/>
        <v>F</v>
      </c>
      <c r="P1286" s="60" t="str">
        <f t="shared" si="185"/>
        <v>CCDCMF</v>
      </c>
      <c r="Q1286" s="61"/>
    </row>
    <row r="1287" spans="1:17" ht="13">
      <c r="A1287" s="28">
        <v>293</v>
      </c>
      <c r="B1287" s="28">
        <v>146347</v>
      </c>
      <c r="C1287" s="129" t="s">
        <v>619</v>
      </c>
      <c r="D1287" s="128" t="s">
        <v>156</v>
      </c>
      <c r="E1287" s="128" t="s">
        <v>146</v>
      </c>
      <c r="F1287" s="29">
        <v>28505</v>
      </c>
      <c r="G1287" s="56" t="str">
        <f t="shared" ca="1" si="186"/>
        <v>V 40</v>
      </c>
      <c r="H1287" s="28">
        <f t="shared" ca="1" si="187"/>
        <v>43</v>
      </c>
      <c r="J1287" s="38" t="str">
        <f t="shared" si="181"/>
        <v>Márcia Nascimento</v>
      </c>
      <c r="K1287" s="39">
        <f t="shared" si="182"/>
        <v>293</v>
      </c>
      <c r="L1287" s="39">
        <f t="shared" si="183"/>
        <v>146347</v>
      </c>
      <c r="M1287" s="40">
        <f t="shared" si="188"/>
        <v>28505</v>
      </c>
      <c r="N1287" s="41" t="str">
        <f t="shared" ca="1" si="189"/>
        <v>V 40</v>
      </c>
      <c r="O1287" s="41" t="str">
        <f t="shared" si="184"/>
        <v>F</v>
      </c>
      <c r="P1287" s="60" t="str">
        <f t="shared" si="185"/>
        <v>CCDCMF</v>
      </c>
      <c r="Q1287" s="61"/>
    </row>
    <row r="1288" spans="1:17" ht="13">
      <c r="A1288" s="28">
        <v>812</v>
      </c>
      <c r="B1288" s="28">
        <v>141819</v>
      </c>
      <c r="C1288" s="129" t="s">
        <v>521</v>
      </c>
      <c r="D1288" s="128" t="s">
        <v>156</v>
      </c>
      <c r="E1288" s="128" t="s">
        <v>145</v>
      </c>
      <c r="F1288" s="29">
        <v>25898</v>
      </c>
      <c r="G1288" s="56" t="str">
        <f t="shared" ca="1" si="186"/>
        <v>V 50</v>
      </c>
      <c r="H1288" s="28">
        <f t="shared" ca="1" si="187"/>
        <v>50</v>
      </c>
      <c r="J1288" s="38" t="str">
        <f t="shared" si="181"/>
        <v>Miquelino Camacho</v>
      </c>
      <c r="K1288" s="39">
        <f t="shared" si="182"/>
        <v>812</v>
      </c>
      <c r="L1288" s="39">
        <f t="shared" si="183"/>
        <v>141819</v>
      </c>
      <c r="M1288" s="40">
        <f t="shared" si="188"/>
        <v>25898</v>
      </c>
      <c r="N1288" s="41" t="str">
        <f t="shared" ca="1" si="189"/>
        <v>V 50</v>
      </c>
      <c r="O1288" s="41" t="str">
        <f t="shared" si="184"/>
        <v>M</v>
      </c>
      <c r="P1288" s="60" t="str">
        <f t="shared" si="185"/>
        <v>CCDCMF</v>
      </c>
      <c r="Q1288" s="61"/>
    </row>
    <row r="1289" spans="1:17" ht="13">
      <c r="A1289" s="28">
        <v>294</v>
      </c>
      <c r="B1289" s="28">
        <v>127607</v>
      </c>
      <c r="C1289" s="129" t="s">
        <v>242</v>
      </c>
      <c r="D1289" s="128" t="s">
        <v>156</v>
      </c>
      <c r="E1289" s="128" t="s">
        <v>146</v>
      </c>
      <c r="F1289" s="29">
        <v>29096</v>
      </c>
      <c r="G1289" s="56" t="str">
        <f t="shared" ca="1" si="186"/>
        <v>V 40</v>
      </c>
      <c r="H1289" s="28">
        <f t="shared" ca="1" si="187"/>
        <v>41</v>
      </c>
      <c r="J1289" s="38" t="str">
        <f t="shared" si="181"/>
        <v>Sónia Freitas</v>
      </c>
      <c r="K1289" s="39">
        <f t="shared" si="182"/>
        <v>294</v>
      </c>
      <c r="L1289" s="39">
        <f t="shared" si="183"/>
        <v>127607</v>
      </c>
      <c r="M1289" s="40">
        <f t="shared" si="188"/>
        <v>29096</v>
      </c>
      <c r="N1289" s="41" t="str">
        <f t="shared" ca="1" si="189"/>
        <v>V 40</v>
      </c>
      <c r="O1289" s="41" t="str">
        <f t="shared" si="184"/>
        <v>F</v>
      </c>
      <c r="P1289" s="60" t="str">
        <f t="shared" si="185"/>
        <v>CCDCMF</v>
      </c>
      <c r="Q1289" s="61"/>
    </row>
    <row r="1290" spans="1:17" ht="13">
      <c r="A1290" s="28">
        <v>811</v>
      </c>
      <c r="B1290" s="28">
        <v>128189</v>
      </c>
      <c r="C1290" s="129" t="s">
        <v>268</v>
      </c>
      <c r="D1290" s="128" t="s">
        <v>156</v>
      </c>
      <c r="E1290" s="128" t="s">
        <v>145</v>
      </c>
      <c r="F1290" s="29">
        <v>27239</v>
      </c>
      <c r="G1290" s="56" t="str">
        <f t="shared" ca="1" si="186"/>
        <v>V 45</v>
      </c>
      <c r="H1290" s="28">
        <f t="shared" ca="1" si="187"/>
        <v>46</v>
      </c>
      <c r="J1290" s="38" t="str">
        <f t="shared" si="181"/>
        <v>Zequiel Freitas</v>
      </c>
      <c r="K1290" s="39">
        <f t="shared" si="182"/>
        <v>811</v>
      </c>
      <c r="L1290" s="39">
        <f t="shared" si="183"/>
        <v>128189</v>
      </c>
      <c r="M1290" s="40">
        <f t="shared" si="188"/>
        <v>27239</v>
      </c>
      <c r="N1290" s="41" t="str">
        <f t="shared" ca="1" si="189"/>
        <v>V 45</v>
      </c>
      <c r="O1290" s="41" t="str">
        <f t="shared" si="184"/>
        <v>M</v>
      </c>
      <c r="P1290" s="60" t="str">
        <f t="shared" si="185"/>
        <v>CCDCMF</v>
      </c>
      <c r="Q1290" s="61"/>
    </row>
    <row r="1291" spans="1:17" ht="13">
      <c r="A1291" s="28">
        <v>295</v>
      </c>
      <c r="B1291" s="28">
        <v>126693</v>
      </c>
      <c r="C1291" s="129" t="s">
        <v>1148</v>
      </c>
      <c r="D1291" s="128" t="s">
        <v>156</v>
      </c>
      <c r="E1291" s="128" t="s">
        <v>146</v>
      </c>
      <c r="F1291" s="29">
        <v>34479</v>
      </c>
      <c r="G1291" s="56" t="str">
        <f t="shared" ca="1" si="186"/>
        <v>Sénior</v>
      </c>
      <c r="H1291" s="28">
        <f t="shared" ca="1" si="187"/>
        <v>26</v>
      </c>
      <c r="J1291" s="38" t="str">
        <f t="shared" si="181"/>
        <v>Carina S. Rodrigues</v>
      </c>
      <c r="K1291" s="39">
        <f t="shared" si="182"/>
        <v>295</v>
      </c>
      <c r="L1291" s="39">
        <f t="shared" si="183"/>
        <v>126693</v>
      </c>
      <c r="M1291" s="40">
        <f t="shared" si="188"/>
        <v>34479</v>
      </c>
      <c r="N1291" s="41" t="str">
        <f t="shared" ca="1" si="189"/>
        <v>Sénior</v>
      </c>
      <c r="O1291" s="41" t="str">
        <f t="shared" si="184"/>
        <v>F</v>
      </c>
      <c r="P1291" s="60" t="str">
        <f t="shared" si="185"/>
        <v>CCDCMF</v>
      </c>
      <c r="Q1291" s="61"/>
    </row>
    <row r="1292" spans="1:17" ht="13">
      <c r="A1292" s="28">
        <v>810</v>
      </c>
      <c r="B1292" s="28">
        <v>126183</v>
      </c>
      <c r="C1292" s="129" t="s">
        <v>213</v>
      </c>
      <c r="D1292" s="128" t="s">
        <v>156</v>
      </c>
      <c r="E1292" s="128" t="s">
        <v>145</v>
      </c>
      <c r="F1292" s="29">
        <v>27352</v>
      </c>
      <c r="G1292" s="56" t="str">
        <f t="shared" ca="1" si="186"/>
        <v>V 45</v>
      </c>
      <c r="H1292" s="28">
        <f t="shared" ca="1" si="187"/>
        <v>46</v>
      </c>
      <c r="J1292" s="38" t="str">
        <f t="shared" si="181"/>
        <v>Duarte Costa</v>
      </c>
      <c r="K1292" s="39">
        <f t="shared" si="182"/>
        <v>810</v>
      </c>
      <c r="L1292" s="39">
        <f t="shared" si="183"/>
        <v>126183</v>
      </c>
      <c r="M1292" s="40">
        <f t="shared" si="188"/>
        <v>27352</v>
      </c>
      <c r="N1292" s="41" t="str">
        <f t="shared" ca="1" si="189"/>
        <v>V 45</v>
      </c>
      <c r="O1292" s="41" t="str">
        <f t="shared" si="184"/>
        <v>M</v>
      </c>
      <c r="P1292" s="60" t="str">
        <f t="shared" si="185"/>
        <v>CCDCMF</v>
      </c>
      <c r="Q1292" s="61"/>
    </row>
    <row r="1293" spans="1:17" ht="13">
      <c r="A1293" s="28">
        <v>809</v>
      </c>
      <c r="B1293" s="28">
        <v>125122</v>
      </c>
      <c r="C1293" s="129" t="s">
        <v>216</v>
      </c>
      <c r="D1293" s="128" t="s">
        <v>156</v>
      </c>
      <c r="E1293" s="128" t="s">
        <v>145</v>
      </c>
      <c r="F1293" s="29">
        <v>25362</v>
      </c>
      <c r="G1293" s="56" t="str">
        <f t="shared" ca="1" si="186"/>
        <v>V 50</v>
      </c>
      <c r="H1293" s="28">
        <f t="shared" ca="1" si="187"/>
        <v>51</v>
      </c>
      <c r="J1293" s="38" t="str">
        <f t="shared" si="181"/>
        <v>Ricardo Spínola</v>
      </c>
      <c r="K1293" s="39">
        <f t="shared" si="182"/>
        <v>809</v>
      </c>
      <c r="L1293" s="39">
        <f t="shared" si="183"/>
        <v>125122</v>
      </c>
      <c r="M1293" s="40">
        <f t="shared" si="188"/>
        <v>25362</v>
      </c>
      <c r="N1293" s="41" t="str">
        <f t="shared" ca="1" si="189"/>
        <v>V 50</v>
      </c>
      <c r="O1293" s="41" t="str">
        <f t="shared" si="184"/>
        <v>M</v>
      </c>
      <c r="P1293" s="60" t="str">
        <f t="shared" si="185"/>
        <v>CCDCMF</v>
      </c>
      <c r="Q1293" s="61"/>
    </row>
    <row r="1294" spans="1:17" ht="13">
      <c r="A1294" s="28">
        <v>296</v>
      </c>
      <c r="B1294" s="28">
        <v>130164</v>
      </c>
      <c r="C1294" s="129" t="s">
        <v>241</v>
      </c>
      <c r="D1294" s="128" t="s">
        <v>156</v>
      </c>
      <c r="E1294" s="128" t="s">
        <v>146</v>
      </c>
      <c r="F1294" s="29">
        <v>26869</v>
      </c>
      <c r="G1294" s="56" t="str">
        <f t="shared" ca="1" si="186"/>
        <v>V 45</v>
      </c>
      <c r="H1294" s="28">
        <f t="shared" ca="1" si="187"/>
        <v>47</v>
      </c>
      <c r="J1294" s="38" t="str">
        <f t="shared" si="181"/>
        <v>Nélia Nascimento</v>
      </c>
      <c r="K1294" s="39">
        <f t="shared" si="182"/>
        <v>296</v>
      </c>
      <c r="L1294" s="39">
        <f t="shared" si="183"/>
        <v>130164</v>
      </c>
      <c r="M1294" s="40">
        <f t="shared" si="188"/>
        <v>26869</v>
      </c>
      <c r="N1294" s="41" t="str">
        <f t="shared" ref="N1294:N1301" ca="1" si="190">G1294</f>
        <v>V 45</v>
      </c>
      <c r="O1294" s="41" t="str">
        <f t="shared" si="184"/>
        <v>F</v>
      </c>
      <c r="P1294" s="60" t="str">
        <f t="shared" si="185"/>
        <v>CCDCMF</v>
      </c>
      <c r="Q1294" s="61"/>
    </row>
    <row r="1295" spans="1:17" ht="13">
      <c r="A1295" s="28">
        <v>808</v>
      </c>
      <c r="B1295" s="28">
        <v>125218</v>
      </c>
      <c r="C1295" s="129" t="s">
        <v>558</v>
      </c>
      <c r="D1295" s="128" t="s">
        <v>156</v>
      </c>
      <c r="E1295" s="128" t="s">
        <v>145</v>
      </c>
      <c r="F1295" s="29">
        <v>26515</v>
      </c>
      <c r="G1295" s="56" t="str">
        <f t="shared" ca="1" si="186"/>
        <v>V 45</v>
      </c>
      <c r="H1295" s="28">
        <f t="shared" ca="1" si="187"/>
        <v>48</v>
      </c>
      <c r="J1295" s="38" t="str">
        <f t="shared" si="181"/>
        <v>L. Filipe Rodrigues</v>
      </c>
      <c r="K1295" s="39">
        <f t="shared" si="182"/>
        <v>808</v>
      </c>
      <c r="L1295" s="39">
        <f t="shared" si="183"/>
        <v>125218</v>
      </c>
      <c r="M1295" s="40">
        <f t="shared" si="188"/>
        <v>26515</v>
      </c>
      <c r="N1295" s="41" t="str">
        <f t="shared" ca="1" si="190"/>
        <v>V 45</v>
      </c>
      <c r="O1295" s="41" t="str">
        <f t="shared" si="184"/>
        <v>M</v>
      </c>
      <c r="P1295" s="60" t="str">
        <f t="shared" si="185"/>
        <v>CCDCMF</v>
      </c>
      <c r="Q1295" s="61"/>
    </row>
    <row r="1296" spans="1:17" ht="13">
      <c r="A1296" s="28">
        <v>297</v>
      </c>
      <c r="B1296" s="28">
        <v>129883</v>
      </c>
      <c r="C1296" s="129" t="s">
        <v>1190</v>
      </c>
      <c r="D1296" s="128" t="s">
        <v>97</v>
      </c>
      <c r="E1296" s="128" t="s">
        <v>146</v>
      </c>
      <c r="F1296" s="29">
        <v>35942</v>
      </c>
      <c r="G1296" s="56" t="str">
        <f t="shared" ca="1" si="186"/>
        <v>Sénior</v>
      </c>
      <c r="H1296" s="28">
        <f t="shared" ca="1" si="187"/>
        <v>22</v>
      </c>
      <c r="J1296" s="38" t="str">
        <f t="shared" si="181"/>
        <v>Scarlett Saleiro</v>
      </c>
      <c r="K1296" s="39">
        <f t="shared" si="182"/>
        <v>297</v>
      </c>
      <c r="L1296" s="39">
        <f t="shared" si="183"/>
        <v>129883</v>
      </c>
      <c r="M1296" s="40">
        <f t="shared" si="188"/>
        <v>35942</v>
      </c>
      <c r="N1296" s="41" t="str">
        <f t="shared" ca="1" si="190"/>
        <v>Sénior</v>
      </c>
      <c r="O1296" s="41" t="str">
        <f t="shared" si="184"/>
        <v>F</v>
      </c>
      <c r="P1296" s="60" t="str">
        <f t="shared" si="185"/>
        <v>ADRAP</v>
      </c>
      <c r="Q1296" s="61"/>
    </row>
    <row r="1297" spans="1:17" ht="13">
      <c r="A1297" s="28">
        <v>807</v>
      </c>
      <c r="B1297" s="28">
        <v>125229</v>
      </c>
      <c r="C1297" s="129" t="s">
        <v>998</v>
      </c>
      <c r="D1297" s="128" t="s">
        <v>125</v>
      </c>
      <c r="E1297" s="128" t="s">
        <v>145</v>
      </c>
      <c r="F1297" s="29">
        <v>37056</v>
      </c>
      <c r="G1297" s="56" t="str">
        <f t="shared" ca="1" si="186"/>
        <v>sub 23</v>
      </c>
      <c r="H1297" s="28">
        <f t="shared" ca="1" si="187"/>
        <v>19</v>
      </c>
      <c r="J1297" s="38" t="str">
        <f t="shared" si="181"/>
        <v>Pedro Buaró</v>
      </c>
      <c r="K1297" s="39">
        <f t="shared" si="182"/>
        <v>807</v>
      </c>
      <c r="L1297" s="39">
        <f t="shared" si="183"/>
        <v>125229</v>
      </c>
      <c r="M1297" s="40">
        <f t="shared" si="188"/>
        <v>37056</v>
      </c>
      <c r="N1297" s="41" t="str">
        <f t="shared" ca="1" si="190"/>
        <v>sub 23</v>
      </c>
      <c r="O1297" s="41" t="str">
        <f t="shared" si="184"/>
        <v>M</v>
      </c>
      <c r="P1297" s="60" t="str">
        <f t="shared" si="185"/>
        <v>GDE</v>
      </c>
      <c r="Q1297" s="61"/>
    </row>
    <row r="1298" spans="1:17" ht="13">
      <c r="A1298" s="28">
        <v>2216</v>
      </c>
      <c r="B1298" s="28">
        <v>158262</v>
      </c>
      <c r="C1298" s="129" t="s">
        <v>1213</v>
      </c>
      <c r="D1298" s="128" t="s">
        <v>123</v>
      </c>
      <c r="E1298" s="128" t="s">
        <v>145</v>
      </c>
      <c r="F1298" s="29">
        <v>40906</v>
      </c>
      <c r="G1298" s="56" t="str">
        <f t="shared" ca="1" si="186"/>
        <v>Benjamim B</v>
      </c>
      <c r="H1298" s="28">
        <f t="shared" ca="1" si="187"/>
        <v>9</v>
      </c>
      <c r="J1298" s="38" t="str">
        <f t="shared" si="181"/>
        <v>Lourenço Lúcio</v>
      </c>
      <c r="K1298" s="39">
        <f t="shared" si="182"/>
        <v>2216</v>
      </c>
      <c r="L1298" s="39">
        <f t="shared" si="183"/>
        <v>158262</v>
      </c>
      <c r="M1298" s="40">
        <f t="shared" si="188"/>
        <v>40906</v>
      </c>
      <c r="N1298" s="41" t="str">
        <f t="shared" ca="1" si="190"/>
        <v>Benjamim B</v>
      </c>
      <c r="O1298" s="41" t="str">
        <f t="shared" si="184"/>
        <v>M</v>
      </c>
      <c r="P1298" s="60" t="str">
        <f t="shared" si="185"/>
        <v>AJS</v>
      </c>
      <c r="Q1298" s="61"/>
    </row>
    <row r="1299" spans="1:17" ht="13">
      <c r="A1299" s="28">
        <v>2096</v>
      </c>
      <c r="B1299" s="28">
        <v>159470</v>
      </c>
      <c r="C1299" s="129" t="s">
        <v>1211</v>
      </c>
      <c r="D1299" s="128" t="s">
        <v>123</v>
      </c>
      <c r="E1299" s="128" t="s">
        <v>146</v>
      </c>
      <c r="F1299" s="29">
        <v>41338</v>
      </c>
      <c r="G1299" s="56" t="str">
        <f t="shared" ca="1" si="186"/>
        <v>Benjamim A</v>
      </c>
      <c r="H1299" s="28">
        <f t="shared" ca="1" si="187"/>
        <v>8</v>
      </c>
      <c r="J1299" s="38" t="str">
        <f t="shared" si="181"/>
        <v>Maria Inês Silva</v>
      </c>
      <c r="K1299" s="39">
        <f t="shared" si="182"/>
        <v>2096</v>
      </c>
      <c r="L1299" s="39">
        <f t="shared" si="183"/>
        <v>159470</v>
      </c>
      <c r="M1299" s="40">
        <f t="shared" si="188"/>
        <v>41338</v>
      </c>
      <c r="N1299" s="41" t="str">
        <f t="shared" ca="1" si="190"/>
        <v>Benjamim A</v>
      </c>
      <c r="O1299" s="41" t="str">
        <f t="shared" si="184"/>
        <v>F</v>
      </c>
      <c r="P1299" s="60" t="str">
        <f t="shared" si="185"/>
        <v>AJS</v>
      </c>
      <c r="Q1299" s="61"/>
    </row>
    <row r="1300" spans="1:17" ht="13">
      <c r="A1300" s="28">
        <v>298</v>
      </c>
      <c r="B1300" s="28">
        <v>144149</v>
      </c>
      <c r="C1300" s="129" t="s">
        <v>905</v>
      </c>
      <c r="D1300" s="128" t="s">
        <v>123</v>
      </c>
      <c r="E1300" s="128" t="s">
        <v>146</v>
      </c>
      <c r="F1300" s="29">
        <v>34861</v>
      </c>
      <c r="G1300" s="56" t="str">
        <f t="shared" ca="1" si="186"/>
        <v>Sénior</v>
      </c>
      <c r="H1300" s="28">
        <f t="shared" ca="1" si="187"/>
        <v>25</v>
      </c>
      <c r="J1300" s="38" t="str">
        <f t="shared" si="181"/>
        <v>Lina Soares</v>
      </c>
      <c r="K1300" s="39">
        <f t="shared" si="182"/>
        <v>298</v>
      </c>
      <c r="L1300" s="39">
        <f t="shared" si="183"/>
        <v>144149</v>
      </c>
      <c r="M1300" s="40">
        <f t="shared" si="188"/>
        <v>34861</v>
      </c>
      <c r="N1300" s="41" t="str">
        <f t="shared" ca="1" si="190"/>
        <v>Sénior</v>
      </c>
      <c r="O1300" s="41" t="str">
        <f t="shared" si="184"/>
        <v>F</v>
      </c>
      <c r="P1300" s="60" t="str">
        <f t="shared" si="185"/>
        <v>AJS</v>
      </c>
      <c r="Q1300" s="61"/>
    </row>
    <row r="1301" spans="1:17" ht="13">
      <c r="A1301" s="28">
        <v>806</v>
      </c>
      <c r="B1301" s="28">
        <v>131125</v>
      </c>
      <c r="C1301" s="129" t="s">
        <v>279</v>
      </c>
      <c r="D1301" s="128" t="s">
        <v>166</v>
      </c>
      <c r="E1301" s="128" t="s">
        <v>145</v>
      </c>
      <c r="F1301" s="29">
        <v>17513</v>
      </c>
      <c r="G1301" s="56" t="str">
        <f t="shared" ca="1" si="186"/>
        <v>V 70</v>
      </c>
      <c r="H1301" s="28">
        <f t="shared" ca="1" si="187"/>
        <v>73</v>
      </c>
      <c r="J1301" s="38" t="str">
        <f t="shared" si="181"/>
        <v>Fernando Júnior</v>
      </c>
      <c r="K1301" s="39">
        <f t="shared" si="182"/>
        <v>806</v>
      </c>
      <c r="L1301" s="39">
        <f t="shared" si="183"/>
        <v>131125</v>
      </c>
      <c r="M1301" s="40">
        <f t="shared" si="188"/>
        <v>17513</v>
      </c>
      <c r="N1301" s="41" t="str">
        <f t="shared" ca="1" si="190"/>
        <v>V 70</v>
      </c>
      <c r="O1301" s="41" t="str">
        <f t="shared" si="184"/>
        <v>M</v>
      </c>
      <c r="P1301" s="60" t="str">
        <f t="shared" si="185"/>
        <v>CPPM</v>
      </c>
      <c r="Q1301" s="61"/>
    </row>
    <row r="1302" spans="1:17" ht="13">
      <c r="A1302" s="28">
        <v>805</v>
      </c>
      <c r="B1302" s="28">
        <v>131126</v>
      </c>
      <c r="C1302" s="129" t="s">
        <v>278</v>
      </c>
      <c r="D1302" s="128" t="s">
        <v>166</v>
      </c>
      <c r="E1302" s="128" t="s">
        <v>145</v>
      </c>
      <c r="F1302" s="29">
        <v>18316</v>
      </c>
      <c r="G1302" s="56" t="str">
        <f t="shared" ca="1" si="186"/>
        <v>V 70</v>
      </c>
      <c r="H1302" s="28">
        <f t="shared" ca="1" si="187"/>
        <v>71</v>
      </c>
      <c r="J1302" s="38" t="str">
        <f t="shared" si="181"/>
        <v>Armando Mendonça</v>
      </c>
      <c r="K1302" s="39">
        <f t="shared" si="182"/>
        <v>805</v>
      </c>
      <c r="L1302" s="39">
        <f t="shared" si="183"/>
        <v>131126</v>
      </c>
      <c r="M1302" s="40">
        <f t="shared" si="188"/>
        <v>18316</v>
      </c>
      <c r="N1302" s="41" t="str">
        <f t="shared" ref="N1302:N1346" ca="1" si="191">G1302</f>
        <v>V 70</v>
      </c>
      <c r="O1302" s="41" t="str">
        <f t="shared" si="184"/>
        <v>M</v>
      </c>
      <c r="P1302" s="60" t="str">
        <f t="shared" si="185"/>
        <v>CPPM</v>
      </c>
      <c r="Q1302" s="61"/>
    </row>
    <row r="1303" spans="1:17" ht="13">
      <c r="A1303" s="28">
        <v>804</v>
      </c>
      <c r="B1303" s="28">
        <v>131175</v>
      </c>
      <c r="C1303" s="129" t="s">
        <v>280</v>
      </c>
      <c r="D1303" s="128" t="s">
        <v>166</v>
      </c>
      <c r="E1303" s="128" t="s">
        <v>145</v>
      </c>
      <c r="F1303" s="29">
        <v>20867</v>
      </c>
      <c r="G1303" s="56" t="str">
        <f t="shared" ca="1" si="186"/>
        <v>V 60</v>
      </c>
      <c r="H1303" s="28">
        <f t="shared" ca="1" si="187"/>
        <v>64</v>
      </c>
      <c r="J1303" s="38" t="str">
        <f t="shared" si="181"/>
        <v>João Conceição</v>
      </c>
      <c r="K1303" s="39">
        <f t="shared" si="182"/>
        <v>804</v>
      </c>
      <c r="L1303" s="39">
        <f t="shared" si="183"/>
        <v>131175</v>
      </c>
      <c r="M1303" s="40">
        <f t="shared" si="188"/>
        <v>20867</v>
      </c>
      <c r="N1303" s="41" t="str">
        <f t="shared" ca="1" si="191"/>
        <v>V 60</v>
      </c>
      <c r="O1303" s="41" t="str">
        <f t="shared" si="184"/>
        <v>M</v>
      </c>
      <c r="P1303" s="60" t="str">
        <f t="shared" si="185"/>
        <v>CPPM</v>
      </c>
      <c r="Q1303" s="61"/>
    </row>
    <row r="1304" spans="1:17" ht="13">
      <c r="A1304" s="28">
        <v>1698</v>
      </c>
      <c r="B1304" s="28">
        <v>131084</v>
      </c>
      <c r="C1304" s="129" t="s">
        <v>1318</v>
      </c>
      <c r="D1304" s="128" t="s">
        <v>124</v>
      </c>
      <c r="E1304" s="128" t="s">
        <v>145</v>
      </c>
      <c r="F1304" s="29">
        <v>38362</v>
      </c>
      <c r="G1304" s="56" t="str">
        <f t="shared" ca="1" si="186"/>
        <v>Juvenil</v>
      </c>
      <c r="H1304" s="28">
        <f t="shared" ca="1" si="187"/>
        <v>16</v>
      </c>
      <c r="J1304" s="38" t="str">
        <f t="shared" si="181"/>
        <v>Tiago Afonso Martins</v>
      </c>
      <c r="K1304" s="39">
        <f t="shared" si="182"/>
        <v>1698</v>
      </c>
      <c r="L1304" s="39">
        <f t="shared" si="183"/>
        <v>131084</v>
      </c>
      <c r="M1304" s="40">
        <f t="shared" si="188"/>
        <v>38362</v>
      </c>
      <c r="N1304" s="41" t="str">
        <f t="shared" ca="1" si="191"/>
        <v>Juvenil</v>
      </c>
      <c r="O1304" s="41" t="str">
        <f t="shared" si="184"/>
        <v>M</v>
      </c>
      <c r="P1304" s="60" t="str">
        <f t="shared" si="185"/>
        <v>CSM</v>
      </c>
      <c r="Q1304" s="61"/>
    </row>
    <row r="1305" spans="1:17" ht="13">
      <c r="A1305" s="28">
        <v>803</v>
      </c>
      <c r="B1305" s="28">
        <v>160961</v>
      </c>
      <c r="C1305" s="129" t="s">
        <v>1319</v>
      </c>
      <c r="D1305" s="128" t="s">
        <v>90</v>
      </c>
      <c r="E1305" s="128" t="s">
        <v>145</v>
      </c>
      <c r="F1305" s="29">
        <v>27850</v>
      </c>
      <c r="G1305" s="56" t="str">
        <f t="shared" ca="1" si="186"/>
        <v>V 45</v>
      </c>
      <c r="H1305" s="28">
        <f t="shared" ca="1" si="187"/>
        <v>45</v>
      </c>
      <c r="J1305" s="38" t="str">
        <f t="shared" si="181"/>
        <v>Patrício Lopes</v>
      </c>
      <c r="K1305" s="39">
        <f t="shared" si="182"/>
        <v>803</v>
      </c>
      <c r="L1305" s="39">
        <f t="shared" si="183"/>
        <v>160961</v>
      </c>
      <c r="M1305" s="40">
        <f t="shared" si="188"/>
        <v>27850</v>
      </c>
      <c r="N1305" s="41" t="str">
        <f t="shared" ca="1" si="191"/>
        <v>V 45</v>
      </c>
      <c r="O1305" s="41" t="str">
        <f t="shared" si="184"/>
        <v>M</v>
      </c>
      <c r="P1305" s="60" t="str">
        <f t="shared" si="185"/>
        <v>LCM-M</v>
      </c>
      <c r="Q1305" s="61"/>
    </row>
    <row r="1306" spans="1:17" ht="13">
      <c r="A1306" s="28">
        <v>802</v>
      </c>
      <c r="B1306" s="28">
        <v>126664</v>
      </c>
      <c r="C1306" s="129" t="s">
        <v>289</v>
      </c>
      <c r="D1306" s="128" t="s">
        <v>90</v>
      </c>
      <c r="E1306" s="128" t="s">
        <v>145</v>
      </c>
      <c r="F1306" s="29">
        <v>26452</v>
      </c>
      <c r="G1306" s="56" t="str">
        <f t="shared" ca="1" si="186"/>
        <v>V 45</v>
      </c>
      <c r="H1306" s="28">
        <f t="shared" ca="1" si="187"/>
        <v>48</v>
      </c>
      <c r="J1306" s="38" t="str">
        <f t="shared" si="181"/>
        <v>João Prioste</v>
      </c>
      <c r="K1306" s="39">
        <f t="shared" si="182"/>
        <v>802</v>
      </c>
      <c r="L1306" s="39">
        <f t="shared" si="183"/>
        <v>126664</v>
      </c>
      <c r="M1306" s="40">
        <f t="shared" si="188"/>
        <v>26452</v>
      </c>
      <c r="N1306" s="41" t="str">
        <f t="shared" ca="1" si="191"/>
        <v>V 45</v>
      </c>
      <c r="O1306" s="41" t="str">
        <f t="shared" si="184"/>
        <v>M</v>
      </c>
      <c r="P1306" s="60" t="str">
        <f t="shared" si="185"/>
        <v>LCM-M</v>
      </c>
      <c r="Q1306" s="61"/>
    </row>
    <row r="1307" spans="1:17" ht="13">
      <c r="A1307" s="28">
        <v>801</v>
      </c>
      <c r="B1307" s="28">
        <v>126973</v>
      </c>
      <c r="C1307" s="129" t="s">
        <v>287</v>
      </c>
      <c r="D1307" s="128" t="s">
        <v>90</v>
      </c>
      <c r="E1307" s="128" t="s">
        <v>145</v>
      </c>
      <c r="F1307" s="29">
        <v>27442</v>
      </c>
      <c r="G1307" s="56" t="str">
        <f t="shared" ca="1" si="186"/>
        <v>V 45</v>
      </c>
      <c r="H1307" s="28">
        <f t="shared" ca="1" si="187"/>
        <v>46</v>
      </c>
      <c r="J1307" s="38" t="str">
        <f t="shared" si="181"/>
        <v>Bruno Góis</v>
      </c>
      <c r="K1307" s="39">
        <f t="shared" si="182"/>
        <v>801</v>
      </c>
      <c r="L1307" s="39">
        <f t="shared" si="183"/>
        <v>126973</v>
      </c>
      <c r="M1307" s="40">
        <f t="shared" si="188"/>
        <v>27442</v>
      </c>
      <c r="N1307" s="41" t="str">
        <f t="shared" ca="1" si="191"/>
        <v>V 45</v>
      </c>
      <c r="O1307" s="41" t="str">
        <f t="shared" si="184"/>
        <v>M</v>
      </c>
      <c r="P1307" s="60" t="str">
        <f t="shared" si="185"/>
        <v>LCM-M</v>
      </c>
      <c r="Q1307" s="61"/>
    </row>
    <row r="1308" spans="1:17" ht="13">
      <c r="A1308" s="28">
        <v>800</v>
      </c>
      <c r="B1308" s="28">
        <v>132608</v>
      </c>
      <c r="C1308" s="129" t="s">
        <v>992</v>
      </c>
      <c r="D1308" s="128" t="s">
        <v>90</v>
      </c>
      <c r="E1308" s="128" t="s">
        <v>145</v>
      </c>
      <c r="F1308" s="29">
        <v>36582</v>
      </c>
      <c r="G1308" s="56" t="str">
        <f t="shared" ca="1" si="186"/>
        <v>sub 23</v>
      </c>
      <c r="H1308" s="28">
        <f t="shared" ca="1" si="187"/>
        <v>21</v>
      </c>
      <c r="J1308" s="38" t="str">
        <f t="shared" si="181"/>
        <v>Tiago Abreu</v>
      </c>
      <c r="K1308" s="39">
        <f t="shared" si="182"/>
        <v>800</v>
      </c>
      <c r="L1308" s="39">
        <f t="shared" si="183"/>
        <v>132608</v>
      </c>
      <c r="M1308" s="40">
        <f t="shared" si="188"/>
        <v>36582</v>
      </c>
      <c r="N1308" s="41" t="str">
        <f t="shared" ca="1" si="191"/>
        <v>sub 23</v>
      </c>
      <c r="O1308" s="41" t="str">
        <f t="shared" si="184"/>
        <v>M</v>
      </c>
      <c r="P1308" s="60" t="str">
        <f t="shared" si="185"/>
        <v>LCM-M</v>
      </c>
      <c r="Q1308" s="61"/>
    </row>
    <row r="1309" spans="1:17" ht="13">
      <c r="A1309" s="28">
        <v>799</v>
      </c>
      <c r="B1309" s="28">
        <v>129358</v>
      </c>
      <c r="C1309" s="129" t="s">
        <v>993</v>
      </c>
      <c r="D1309" s="128" t="s">
        <v>90</v>
      </c>
      <c r="E1309" s="128" t="s">
        <v>145</v>
      </c>
      <c r="F1309" s="29">
        <v>27243</v>
      </c>
      <c r="G1309" s="56" t="str">
        <f t="shared" ca="1" si="186"/>
        <v>V 45</v>
      </c>
      <c r="H1309" s="28">
        <f t="shared" ca="1" si="187"/>
        <v>46</v>
      </c>
      <c r="J1309" s="38" t="str">
        <f t="shared" si="181"/>
        <v>Victor Abreu</v>
      </c>
      <c r="K1309" s="39">
        <f t="shared" si="182"/>
        <v>799</v>
      </c>
      <c r="L1309" s="39">
        <f t="shared" si="183"/>
        <v>129358</v>
      </c>
      <c r="M1309" s="40">
        <f t="shared" si="188"/>
        <v>27243</v>
      </c>
      <c r="N1309" s="41" t="str">
        <f t="shared" ca="1" si="191"/>
        <v>V 45</v>
      </c>
      <c r="O1309" s="41" t="str">
        <f t="shared" si="184"/>
        <v>M</v>
      </c>
      <c r="P1309" s="60" t="str">
        <f t="shared" si="185"/>
        <v>LCM-M</v>
      </c>
      <c r="Q1309" s="61"/>
    </row>
    <row r="1310" spans="1:17" ht="13">
      <c r="A1310" s="28">
        <v>798</v>
      </c>
      <c r="B1310" s="28">
        <v>146804</v>
      </c>
      <c r="C1310" s="129" t="s">
        <v>991</v>
      </c>
      <c r="D1310" s="128" t="s">
        <v>90</v>
      </c>
      <c r="E1310" s="128" t="s">
        <v>145</v>
      </c>
      <c r="F1310" s="29">
        <v>24580</v>
      </c>
      <c r="G1310" s="56" t="str">
        <f t="shared" ca="1" si="186"/>
        <v>V 50</v>
      </c>
      <c r="H1310" s="28">
        <f t="shared" ca="1" si="187"/>
        <v>54</v>
      </c>
      <c r="J1310" s="38" t="str">
        <f t="shared" si="181"/>
        <v>Apolónio Abreu</v>
      </c>
      <c r="K1310" s="39">
        <f t="shared" si="182"/>
        <v>798</v>
      </c>
      <c r="L1310" s="39">
        <f t="shared" si="183"/>
        <v>146804</v>
      </c>
      <c r="M1310" s="40">
        <f t="shared" si="188"/>
        <v>24580</v>
      </c>
      <c r="N1310" s="41" t="str">
        <f t="shared" ca="1" si="191"/>
        <v>V 50</v>
      </c>
      <c r="O1310" s="41" t="str">
        <f t="shared" si="184"/>
        <v>M</v>
      </c>
      <c r="P1310" s="60" t="str">
        <f t="shared" si="185"/>
        <v>LCM-M</v>
      </c>
      <c r="Q1310" s="61"/>
    </row>
    <row r="1311" spans="1:17" ht="13">
      <c r="A1311" s="28">
        <v>797</v>
      </c>
      <c r="B1311" s="28">
        <v>145414</v>
      </c>
      <c r="C1311" s="129" t="s">
        <v>595</v>
      </c>
      <c r="D1311" s="128" t="s">
        <v>90</v>
      </c>
      <c r="E1311" s="128" t="s">
        <v>145</v>
      </c>
      <c r="F1311" s="29">
        <v>30372</v>
      </c>
      <c r="G1311" s="56" t="str">
        <f t="shared" ca="1" si="186"/>
        <v>V 35</v>
      </c>
      <c r="H1311" s="28">
        <f t="shared" ca="1" si="187"/>
        <v>38</v>
      </c>
      <c r="J1311" s="38" t="str">
        <f t="shared" si="181"/>
        <v>Sérgio Aveiro</v>
      </c>
      <c r="K1311" s="39">
        <f t="shared" si="182"/>
        <v>797</v>
      </c>
      <c r="L1311" s="39">
        <f t="shared" si="183"/>
        <v>145414</v>
      </c>
      <c r="M1311" s="40">
        <f t="shared" si="188"/>
        <v>30372</v>
      </c>
      <c r="N1311" s="41" t="str">
        <f t="shared" ca="1" si="191"/>
        <v>V 35</v>
      </c>
      <c r="O1311" s="41" t="str">
        <f t="shared" si="184"/>
        <v>M</v>
      </c>
      <c r="P1311" s="60" t="str">
        <f t="shared" si="185"/>
        <v>LCM-M</v>
      </c>
      <c r="Q1311" s="61"/>
    </row>
    <row r="1312" spans="1:17" ht="13">
      <c r="A1312" s="28">
        <v>785</v>
      </c>
      <c r="B1312" s="28">
        <v>126121</v>
      </c>
      <c r="C1312" s="129" t="s">
        <v>293</v>
      </c>
      <c r="D1312" s="128" t="s">
        <v>90</v>
      </c>
      <c r="E1312" s="128" t="s">
        <v>145</v>
      </c>
      <c r="F1312" s="29">
        <v>36998</v>
      </c>
      <c r="G1312" s="56" t="str">
        <f t="shared" ca="1" si="186"/>
        <v>sub 23</v>
      </c>
      <c r="H1312" s="28">
        <f t="shared" ca="1" si="187"/>
        <v>20</v>
      </c>
      <c r="J1312" s="38" t="str">
        <f t="shared" si="181"/>
        <v>Pedro Prioste</v>
      </c>
      <c r="K1312" s="39">
        <f t="shared" si="182"/>
        <v>785</v>
      </c>
      <c r="L1312" s="39">
        <f t="shared" si="183"/>
        <v>126121</v>
      </c>
      <c r="M1312" s="40">
        <f t="shared" si="188"/>
        <v>36998</v>
      </c>
      <c r="N1312" s="41" t="str">
        <f t="shared" ca="1" si="191"/>
        <v>sub 23</v>
      </c>
      <c r="O1312" s="41" t="str">
        <f t="shared" si="184"/>
        <v>M</v>
      </c>
      <c r="P1312" s="60" t="str">
        <f t="shared" si="185"/>
        <v>LCM-M</v>
      </c>
      <c r="Q1312" s="61"/>
    </row>
    <row r="1313" spans="1:17" ht="13">
      <c r="A1313" s="28">
        <v>299</v>
      </c>
      <c r="B1313" s="28">
        <v>126620</v>
      </c>
      <c r="C1313" s="129" t="s">
        <v>282</v>
      </c>
      <c r="D1313" s="128" t="s">
        <v>90</v>
      </c>
      <c r="E1313" s="128" t="s">
        <v>146</v>
      </c>
      <c r="F1313" s="29">
        <v>25355</v>
      </c>
      <c r="G1313" s="56" t="str">
        <f t="shared" ca="1" si="186"/>
        <v>V 50</v>
      </c>
      <c r="H1313" s="28">
        <f t="shared" ca="1" si="187"/>
        <v>51</v>
      </c>
      <c r="J1313" s="38" t="str">
        <f t="shared" si="181"/>
        <v>Ana Marote</v>
      </c>
      <c r="K1313" s="39">
        <f t="shared" si="182"/>
        <v>299</v>
      </c>
      <c r="L1313" s="39">
        <f t="shared" si="183"/>
        <v>126620</v>
      </c>
      <c r="M1313" s="40">
        <f t="shared" si="188"/>
        <v>25355</v>
      </c>
      <c r="N1313" s="41" t="str">
        <f t="shared" ca="1" si="191"/>
        <v>V 50</v>
      </c>
      <c r="O1313" s="41" t="str">
        <f t="shared" si="184"/>
        <v>F</v>
      </c>
      <c r="P1313" s="60" t="str">
        <f t="shared" si="185"/>
        <v>LCM-M</v>
      </c>
      <c r="Q1313" s="61"/>
    </row>
    <row r="1314" spans="1:17" ht="13">
      <c r="A1314" s="28">
        <v>796</v>
      </c>
      <c r="B1314" s="28">
        <v>159891</v>
      </c>
      <c r="C1314" s="129" t="s">
        <v>1310</v>
      </c>
      <c r="D1314" s="128" t="s">
        <v>90</v>
      </c>
      <c r="E1314" s="128" t="s">
        <v>145</v>
      </c>
      <c r="F1314" s="29">
        <v>32131</v>
      </c>
      <c r="G1314" s="56" t="str">
        <f t="shared" ca="1" si="186"/>
        <v>Sénior</v>
      </c>
      <c r="H1314" s="28">
        <f t="shared" ca="1" si="187"/>
        <v>33</v>
      </c>
      <c r="J1314" s="38" t="str">
        <f t="shared" si="181"/>
        <v>Luís C. Gomes</v>
      </c>
      <c r="K1314" s="39">
        <f t="shared" si="182"/>
        <v>796</v>
      </c>
      <c r="L1314" s="39">
        <f t="shared" si="183"/>
        <v>159891</v>
      </c>
      <c r="M1314" s="40">
        <f t="shared" si="188"/>
        <v>32131</v>
      </c>
      <c r="N1314" s="41" t="str">
        <f t="shared" ca="1" si="191"/>
        <v>Sénior</v>
      </c>
      <c r="O1314" s="41" t="str">
        <f t="shared" si="184"/>
        <v>M</v>
      </c>
      <c r="P1314" s="60" t="str">
        <f t="shared" si="185"/>
        <v>LCM-M</v>
      </c>
      <c r="Q1314" s="61"/>
    </row>
    <row r="1315" spans="1:17" ht="13">
      <c r="A1315" s="28">
        <v>795</v>
      </c>
      <c r="B1315" s="28">
        <v>131999</v>
      </c>
      <c r="C1315" s="129" t="s">
        <v>990</v>
      </c>
      <c r="D1315" s="128" t="s">
        <v>90</v>
      </c>
      <c r="E1315" s="128" t="s">
        <v>145</v>
      </c>
      <c r="F1315" s="29">
        <v>29503</v>
      </c>
      <c r="G1315" s="56" t="str">
        <f t="shared" ca="1" si="186"/>
        <v>V 40</v>
      </c>
      <c r="H1315" s="28">
        <f t="shared" ca="1" si="187"/>
        <v>40</v>
      </c>
      <c r="J1315" s="38" t="str">
        <f t="shared" si="181"/>
        <v>Nuno Manuel</v>
      </c>
      <c r="K1315" s="39">
        <f t="shared" si="182"/>
        <v>795</v>
      </c>
      <c r="L1315" s="39">
        <f t="shared" si="183"/>
        <v>131999</v>
      </c>
      <c r="M1315" s="40">
        <f t="shared" si="188"/>
        <v>29503</v>
      </c>
      <c r="N1315" s="41" t="str">
        <f t="shared" ca="1" si="191"/>
        <v>V 40</v>
      </c>
      <c r="O1315" s="41" t="str">
        <f t="shared" si="184"/>
        <v>M</v>
      </c>
      <c r="P1315" s="60" t="str">
        <f t="shared" si="185"/>
        <v>LCM-M</v>
      </c>
      <c r="Q1315" s="61"/>
    </row>
    <row r="1316" spans="1:17" ht="13">
      <c r="A1316" s="28">
        <v>1915</v>
      </c>
      <c r="B1316" s="28">
        <v>142631</v>
      </c>
      <c r="C1316" s="129" t="s">
        <v>541</v>
      </c>
      <c r="D1316" s="128" t="s">
        <v>90</v>
      </c>
      <c r="E1316" s="128" t="s">
        <v>146</v>
      </c>
      <c r="F1316" s="29">
        <v>39693</v>
      </c>
      <c r="G1316" s="56" t="str">
        <f t="shared" ca="1" si="186"/>
        <v>Infantil</v>
      </c>
      <c r="H1316" s="28">
        <f t="shared" ca="1" si="187"/>
        <v>12</v>
      </c>
      <c r="J1316" s="38" t="str">
        <f t="shared" si="181"/>
        <v>Margarida Góis</v>
      </c>
      <c r="K1316" s="39">
        <f t="shared" si="182"/>
        <v>1915</v>
      </c>
      <c r="L1316" s="39">
        <f t="shared" si="183"/>
        <v>142631</v>
      </c>
      <c r="M1316" s="40">
        <f t="shared" si="188"/>
        <v>39693</v>
      </c>
      <c r="N1316" s="41" t="str">
        <f t="shared" ca="1" si="191"/>
        <v>Infantil</v>
      </c>
      <c r="O1316" s="41" t="str">
        <f t="shared" si="184"/>
        <v>F</v>
      </c>
      <c r="P1316" s="60" t="str">
        <f t="shared" si="185"/>
        <v>LCM-M</v>
      </c>
      <c r="Q1316" s="61"/>
    </row>
    <row r="1317" spans="1:17" ht="13">
      <c r="A1317" s="28">
        <v>300</v>
      </c>
      <c r="B1317" s="28">
        <v>126974</v>
      </c>
      <c r="C1317" s="129" t="s">
        <v>283</v>
      </c>
      <c r="D1317" s="128" t="s">
        <v>90</v>
      </c>
      <c r="E1317" s="128" t="s">
        <v>146</v>
      </c>
      <c r="F1317" s="29">
        <v>28440</v>
      </c>
      <c r="G1317" s="56" t="str">
        <f t="shared" ca="1" si="186"/>
        <v>V 40</v>
      </c>
      <c r="H1317" s="28">
        <f t="shared" ca="1" si="187"/>
        <v>43</v>
      </c>
      <c r="J1317" s="38" t="str">
        <f t="shared" si="181"/>
        <v>Carina Góis</v>
      </c>
      <c r="K1317" s="39">
        <f t="shared" si="182"/>
        <v>300</v>
      </c>
      <c r="L1317" s="39">
        <f t="shared" si="183"/>
        <v>126974</v>
      </c>
      <c r="M1317" s="40">
        <f t="shared" si="188"/>
        <v>28440</v>
      </c>
      <c r="N1317" s="41" t="str">
        <f t="shared" ca="1" si="191"/>
        <v>V 40</v>
      </c>
      <c r="O1317" s="41" t="str">
        <f t="shared" si="184"/>
        <v>F</v>
      </c>
      <c r="P1317" s="60" t="str">
        <f t="shared" si="185"/>
        <v>LCM-M</v>
      </c>
      <c r="Q1317" s="61"/>
    </row>
    <row r="1318" spans="1:17" ht="13">
      <c r="A1318" s="28">
        <v>794</v>
      </c>
      <c r="B1318" s="28">
        <v>131886</v>
      </c>
      <c r="C1318" s="129" t="s">
        <v>995</v>
      </c>
      <c r="D1318" s="128" t="s">
        <v>90</v>
      </c>
      <c r="E1318" s="128" t="s">
        <v>145</v>
      </c>
      <c r="F1318" s="29">
        <v>27057</v>
      </c>
      <c r="G1318" s="56" t="str">
        <f t="shared" ca="1" si="186"/>
        <v>V 45</v>
      </c>
      <c r="H1318" s="28">
        <f t="shared" ca="1" si="187"/>
        <v>47</v>
      </c>
      <c r="J1318" s="38" t="str">
        <f t="shared" si="181"/>
        <v>Mário S. Rodrigues</v>
      </c>
      <c r="K1318" s="39">
        <f t="shared" si="182"/>
        <v>794</v>
      </c>
      <c r="L1318" s="39">
        <f t="shared" si="183"/>
        <v>131886</v>
      </c>
      <c r="M1318" s="40">
        <f t="shared" si="188"/>
        <v>27057</v>
      </c>
      <c r="N1318" s="41" t="str">
        <f t="shared" ca="1" si="191"/>
        <v>V 45</v>
      </c>
      <c r="O1318" s="41" t="str">
        <f t="shared" si="184"/>
        <v>M</v>
      </c>
      <c r="P1318" s="60" t="str">
        <f t="shared" si="185"/>
        <v>LCM-M</v>
      </c>
      <c r="Q1318" s="61"/>
    </row>
    <row r="1319" spans="1:17" ht="13">
      <c r="A1319" s="28">
        <v>1588</v>
      </c>
      <c r="B1319" s="28">
        <v>126668</v>
      </c>
      <c r="C1319" s="129" t="s">
        <v>286</v>
      </c>
      <c r="D1319" s="128" t="s">
        <v>90</v>
      </c>
      <c r="E1319" s="128" t="s">
        <v>146</v>
      </c>
      <c r="F1319" s="29">
        <v>38560</v>
      </c>
      <c r="G1319" s="56" t="str">
        <f t="shared" ca="1" si="186"/>
        <v>Juvenil</v>
      </c>
      <c r="H1319" s="28">
        <f t="shared" ca="1" si="187"/>
        <v>15</v>
      </c>
      <c r="J1319" s="38" t="str">
        <f t="shared" si="181"/>
        <v>Mariana Góis</v>
      </c>
      <c r="K1319" s="39">
        <f t="shared" si="182"/>
        <v>1588</v>
      </c>
      <c r="L1319" s="39">
        <f t="shared" si="183"/>
        <v>126668</v>
      </c>
      <c r="M1319" s="40">
        <f t="shared" si="188"/>
        <v>38560</v>
      </c>
      <c r="N1319" s="41" t="str">
        <f t="shared" ca="1" si="191"/>
        <v>Juvenil</v>
      </c>
      <c r="O1319" s="41" t="str">
        <f t="shared" si="184"/>
        <v>F</v>
      </c>
      <c r="P1319" s="60" t="str">
        <f t="shared" si="185"/>
        <v>LCM-M</v>
      </c>
      <c r="Q1319" s="61"/>
    </row>
    <row r="1320" spans="1:17" ht="13">
      <c r="A1320" s="28">
        <v>793</v>
      </c>
      <c r="B1320" s="28">
        <v>126669</v>
      </c>
      <c r="C1320" s="129" t="s">
        <v>290</v>
      </c>
      <c r="D1320" s="128" t="s">
        <v>90</v>
      </c>
      <c r="E1320" s="128" t="s">
        <v>145</v>
      </c>
      <c r="F1320" s="29">
        <v>27597</v>
      </c>
      <c r="G1320" s="56" t="str">
        <f t="shared" ca="1" si="186"/>
        <v>V 45</v>
      </c>
      <c r="H1320" s="28">
        <f t="shared" ca="1" si="187"/>
        <v>45</v>
      </c>
      <c r="J1320" s="38" t="str">
        <f t="shared" si="181"/>
        <v>Marco Rosário</v>
      </c>
      <c r="K1320" s="39">
        <f t="shared" si="182"/>
        <v>793</v>
      </c>
      <c r="L1320" s="39">
        <f t="shared" si="183"/>
        <v>126669</v>
      </c>
      <c r="M1320" s="40">
        <f t="shared" si="188"/>
        <v>27597</v>
      </c>
      <c r="N1320" s="41" t="str">
        <f t="shared" ca="1" si="191"/>
        <v>V 45</v>
      </c>
      <c r="O1320" s="41" t="str">
        <f t="shared" si="184"/>
        <v>M</v>
      </c>
      <c r="P1320" s="60" t="str">
        <f t="shared" si="185"/>
        <v>LCM-M</v>
      </c>
      <c r="Q1320" s="61"/>
    </row>
    <row r="1321" spans="1:17" ht="13">
      <c r="A1321" s="28">
        <v>792</v>
      </c>
      <c r="B1321" s="28">
        <v>126320</v>
      </c>
      <c r="C1321" s="129" t="s">
        <v>862</v>
      </c>
      <c r="D1321" s="128" t="s">
        <v>90</v>
      </c>
      <c r="E1321" s="128" t="s">
        <v>145</v>
      </c>
      <c r="F1321" s="29">
        <v>34034</v>
      </c>
      <c r="G1321" s="56" t="str">
        <f t="shared" ca="1" si="186"/>
        <v>Sénior</v>
      </c>
      <c r="H1321" s="28">
        <f t="shared" ca="1" si="187"/>
        <v>28</v>
      </c>
      <c r="J1321" s="38" t="str">
        <f t="shared" si="181"/>
        <v>Bruno Freitas</v>
      </c>
      <c r="K1321" s="39">
        <f t="shared" si="182"/>
        <v>792</v>
      </c>
      <c r="L1321" s="39">
        <f t="shared" si="183"/>
        <v>126320</v>
      </c>
      <c r="M1321" s="40">
        <f t="shared" si="188"/>
        <v>34034</v>
      </c>
      <c r="N1321" s="41" t="str">
        <f t="shared" ca="1" si="191"/>
        <v>Sénior</v>
      </c>
      <c r="O1321" s="41" t="str">
        <f t="shared" si="184"/>
        <v>M</v>
      </c>
      <c r="P1321" s="60" t="str">
        <f t="shared" si="185"/>
        <v>LCM-M</v>
      </c>
      <c r="Q1321" s="61"/>
    </row>
    <row r="1322" spans="1:17" ht="13">
      <c r="A1322" s="28">
        <v>301</v>
      </c>
      <c r="B1322" s="28">
        <v>141162</v>
      </c>
      <c r="C1322" s="129" t="s">
        <v>544</v>
      </c>
      <c r="D1322" s="128" t="s">
        <v>90</v>
      </c>
      <c r="E1322" s="128" t="s">
        <v>146</v>
      </c>
      <c r="F1322" s="29">
        <v>31978</v>
      </c>
      <c r="G1322" s="56" t="str">
        <f t="shared" ca="1" si="186"/>
        <v>Sénior</v>
      </c>
      <c r="H1322" s="28">
        <f t="shared" ca="1" si="187"/>
        <v>33</v>
      </c>
      <c r="J1322" s="38" t="str">
        <f t="shared" si="181"/>
        <v>Cátia Vieira</v>
      </c>
      <c r="K1322" s="39">
        <f t="shared" si="182"/>
        <v>301</v>
      </c>
      <c r="L1322" s="39">
        <f t="shared" si="183"/>
        <v>141162</v>
      </c>
      <c r="M1322" s="40">
        <f t="shared" si="188"/>
        <v>31978</v>
      </c>
      <c r="N1322" s="41" t="str">
        <f t="shared" ca="1" si="191"/>
        <v>Sénior</v>
      </c>
      <c r="O1322" s="41" t="str">
        <f t="shared" si="184"/>
        <v>F</v>
      </c>
      <c r="P1322" s="60" t="str">
        <f t="shared" si="185"/>
        <v>LCM-M</v>
      </c>
      <c r="Q1322" s="61"/>
    </row>
    <row r="1323" spans="1:17" ht="13">
      <c r="A1323" s="28">
        <v>302</v>
      </c>
      <c r="B1323" s="28">
        <v>127079</v>
      </c>
      <c r="C1323" s="129" t="s">
        <v>989</v>
      </c>
      <c r="D1323" s="128" t="s">
        <v>90</v>
      </c>
      <c r="E1323" s="128" t="s">
        <v>146</v>
      </c>
      <c r="F1323" s="29">
        <v>29987</v>
      </c>
      <c r="G1323" s="56" t="str">
        <f t="shared" ca="1" si="186"/>
        <v>V 35</v>
      </c>
      <c r="H1323" s="28">
        <f t="shared" ca="1" si="187"/>
        <v>39</v>
      </c>
      <c r="J1323" s="38" t="str">
        <f t="shared" si="181"/>
        <v>Carla M. Neves</v>
      </c>
      <c r="K1323" s="39">
        <f t="shared" si="182"/>
        <v>302</v>
      </c>
      <c r="L1323" s="39">
        <f t="shared" si="183"/>
        <v>127079</v>
      </c>
      <c r="M1323" s="40">
        <f t="shared" si="188"/>
        <v>29987</v>
      </c>
      <c r="N1323" s="41" t="str">
        <f t="shared" ca="1" si="191"/>
        <v>V 35</v>
      </c>
      <c r="O1323" s="41" t="str">
        <f t="shared" si="184"/>
        <v>F</v>
      </c>
      <c r="P1323" s="60" t="str">
        <f t="shared" si="185"/>
        <v>LCM-M</v>
      </c>
      <c r="Q1323" s="61"/>
    </row>
    <row r="1324" spans="1:17" ht="13">
      <c r="A1324" s="28">
        <v>2030</v>
      </c>
      <c r="B1324" s="28">
        <v>142787</v>
      </c>
      <c r="C1324" s="129" t="s">
        <v>994</v>
      </c>
      <c r="D1324" s="128" t="s">
        <v>90</v>
      </c>
      <c r="E1324" s="128" t="s">
        <v>145</v>
      </c>
      <c r="F1324" s="29">
        <v>39589</v>
      </c>
      <c r="G1324" s="56" t="str">
        <f t="shared" ca="1" si="186"/>
        <v>Infantil</v>
      </c>
      <c r="H1324" s="28">
        <f t="shared" ca="1" si="187"/>
        <v>12</v>
      </c>
      <c r="J1324" s="38" t="str">
        <f t="shared" si="181"/>
        <v>Frederico L. Antunes</v>
      </c>
      <c r="K1324" s="39">
        <f t="shared" si="182"/>
        <v>2030</v>
      </c>
      <c r="L1324" s="39">
        <f t="shared" si="183"/>
        <v>142787</v>
      </c>
      <c r="M1324" s="40">
        <f t="shared" si="188"/>
        <v>39589</v>
      </c>
      <c r="N1324" s="41" t="str">
        <f t="shared" ca="1" si="191"/>
        <v>Infantil</v>
      </c>
      <c r="O1324" s="41" t="str">
        <f t="shared" si="184"/>
        <v>M</v>
      </c>
      <c r="P1324" s="60" t="str">
        <f t="shared" si="185"/>
        <v>LCM-M</v>
      </c>
      <c r="Q1324" s="61"/>
    </row>
    <row r="1325" spans="1:17" ht="13">
      <c r="A1325" s="28">
        <v>303</v>
      </c>
      <c r="B1325" s="28">
        <v>125441</v>
      </c>
      <c r="C1325" s="129" t="s">
        <v>284</v>
      </c>
      <c r="D1325" s="128" t="s">
        <v>90</v>
      </c>
      <c r="E1325" s="128" t="s">
        <v>146</v>
      </c>
      <c r="F1325" s="29">
        <v>26184</v>
      </c>
      <c r="G1325" s="56" t="str">
        <f t="shared" ca="1" si="186"/>
        <v>V 45</v>
      </c>
      <c r="H1325" s="28">
        <f t="shared" ca="1" si="187"/>
        <v>49</v>
      </c>
      <c r="J1325" s="38" t="str">
        <f t="shared" si="181"/>
        <v>Carla Patrícia Telo</v>
      </c>
      <c r="K1325" s="39">
        <f t="shared" si="182"/>
        <v>303</v>
      </c>
      <c r="L1325" s="39">
        <f t="shared" si="183"/>
        <v>125441</v>
      </c>
      <c r="M1325" s="40">
        <f t="shared" si="188"/>
        <v>26184</v>
      </c>
      <c r="N1325" s="41" t="str">
        <f t="shared" ca="1" si="191"/>
        <v>V 45</v>
      </c>
      <c r="O1325" s="41" t="str">
        <f t="shared" si="184"/>
        <v>F</v>
      </c>
      <c r="P1325" s="60" t="str">
        <f t="shared" si="185"/>
        <v>LCM-M</v>
      </c>
      <c r="Q1325" s="61"/>
    </row>
    <row r="1326" spans="1:17" ht="13">
      <c r="A1326" s="28">
        <v>791</v>
      </c>
      <c r="B1326" s="28">
        <v>126296</v>
      </c>
      <c r="C1326" s="129" t="s">
        <v>292</v>
      </c>
      <c r="D1326" s="128" t="s">
        <v>90</v>
      </c>
      <c r="E1326" s="128" t="s">
        <v>145</v>
      </c>
      <c r="F1326" s="29">
        <v>22704</v>
      </c>
      <c r="G1326" s="56" t="str">
        <f t="shared" ca="1" si="186"/>
        <v>V 55</v>
      </c>
      <c r="H1326" s="28">
        <f t="shared" ca="1" si="187"/>
        <v>59</v>
      </c>
      <c r="J1326" s="38" t="str">
        <f t="shared" si="181"/>
        <v>Paulo Silva</v>
      </c>
      <c r="K1326" s="39">
        <f t="shared" si="182"/>
        <v>791</v>
      </c>
      <c r="L1326" s="39">
        <f t="shared" si="183"/>
        <v>126296</v>
      </c>
      <c r="M1326" s="40">
        <f t="shared" si="188"/>
        <v>22704</v>
      </c>
      <c r="N1326" s="41" t="str">
        <f t="shared" ca="1" si="191"/>
        <v>V 55</v>
      </c>
      <c r="O1326" s="41" t="str">
        <f t="shared" si="184"/>
        <v>M</v>
      </c>
      <c r="P1326" s="60" t="str">
        <f t="shared" si="185"/>
        <v>LCM-M</v>
      </c>
      <c r="Q1326" s="61"/>
    </row>
    <row r="1327" spans="1:17" ht="13">
      <c r="A1327" s="28">
        <v>1878</v>
      </c>
      <c r="B1327" s="28">
        <v>165132</v>
      </c>
      <c r="C1327" s="129" t="s">
        <v>1558</v>
      </c>
      <c r="D1327" s="128" t="s">
        <v>90</v>
      </c>
      <c r="E1327" s="128" t="s">
        <v>145</v>
      </c>
      <c r="F1327" s="29">
        <v>38723</v>
      </c>
      <c r="G1327" s="56" t="str">
        <f t="shared" ca="1" si="186"/>
        <v>Iniciado</v>
      </c>
      <c r="H1327" s="28">
        <f t="shared" ca="1" si="187"/>
        <v>15</v>
      </c>
      <c r="J1327" s="38" t="str">
        <f t="shared" si="181"/>
        <v>Luís D. Mendonça</v>
      </c>
      <c r="K1327" s="39">
        <f t="shared" si="182"/>
        <v>1878</v>
      </c>
      <c r="L1327" s="39">
        <f t="shared" si="183"/>
        <v>165132</v>
      </c>
      <c r="M1327" s="40">
        <f t="shared" si="188"/>
        <v>38723</v>
      </c>
      <c r="N1327" s="41" t="str">
        <f t="shared" ca="1" si="191"/>
        <v>Iniciado</v>
      </c>
      <c r="O1327" s="41" t="str">
        <f t="shared" si="184"/>
        <v>M</v>
      </c>
      <c r="P1327" s="60" t="str">
        <f t="shared" si="185"/>
        <v>LCM-M</v>
      </c>
      <c r="Q1327" s="61"/>
    </row>
    <row r="1328" spans="1:17" ht="13">
      <c r="A1328" s="28">
        <v>790</v>
      </c>
      <c r="B1328" s="28">
        <v>127297</v>
      </c>
      <c r="C1328" s="129" t="s">
        <v>494</v>
      </c>
      <c r="D1328" s="128" t="s">
        <v>148</v>
      </c>
      <c r="E1328" s="128" t="s">
        <v>145</v>
      </c>
      <c r="F1328" s="29">
        <v>30545</v>
      </c>
      <c r="G1328" s="56" t="str">
        <f t="shared" ca="1" si="186"/>
        <v>V 35</v>
      </c>
      <c r="H1328" s="28">
        <f t="shared" ca="1" si="187"/>
        <v>37</v>
      </c>
      <c r="J1328" s="38" t="str">
        <f t="shared" si="181"/>
        <v>Rafael Rodrigues</v>
      </c>
      <c r="K1328" s="39">
        <f t="shared" si="182"/>
        <v>790</v>
      </c>
      <c r="L1328" s="39">
        <f t="shared" si="183"/>
        <v>127297</v>
      </c>
      <c r="M1328" s="40">
        <f t="shared" si="188"/>
        <v>30545</v>
      </c>
      <c r="N1328" s="41" t="str">
        <f t="shared" ca="1" si="191"/>
        <v>V 35</v>
      </c>
      <c r="O1328" s="41" t="str">
        <f t="shared" si="184"/>
        <v>M</v>
      </c>
      <c r="P1328" s="60" t="str">
        <f t="shared" si="185"/>
        <v>IND-M</v>
      </c>
      <c r="Q1328" s="61"/>
    </row>
    <row r="1329" spans="1:17" ht="13">
      <c r="A1329" s="28">
        <v>789</v>
      </c>
      <c r="B1329" s="28">
        <v>127354</v>
      </c>
      <c r="C1329" s="129" t="s">
        <v>1351</v>
      </c>
      <c r="D1329" s="128" t="s">
        <v>97</v>
      </c>
      <c r="E1329" s="128" t="s">
        <v>145</v>
      </c>
      <c r="F1329" s="29">
        <v>31516</v>
      </c>
      <c r="G1329" s="56" t="str">
        <f t="shared" ca="1" si="186"/>
        <v>V 35</v>
      </c>
      <c r="H1329" s="28">
        <f t="shared" ca="1" si="187"/>
        <v>35</v>
      </c>
      <c r="J1329" s="38" t="str">
        <f t="shared" si="181"/>
        <v>André Gonçalves</v>
      </c>
      <c r="K1329" s="39">
        <f t="shared" si="182"/>
        <v>789</v>
      </c>
      <c r="L1329" s="39">
        <f t="shared" si="183"/>
        <v>127354</v>
      </c>
      <c r="M1329" s="40">
        <f t="shared" si="188"/>
        <v>31516</v>
      </c>
      <c r="N1329" s="41" t="str">
        <f t="shared" ca="1" si="191"/>
        <v>V 35</v>
      </c>
      <c r="O1329" s="41" t="str">
        <f t="shared" si="184"/>
        <v>M</v>
      </c>
      <c r="P1329" s="60" t="str">
        <f t="shared" si="185"/>
        <v>ADRAP</v>
      </c>
      <c r="Q1329" s="61"/>
    </row>
    <row r="1330" spans="1:17" ht="13">
      <c r="A1330" s="28">
        <v>788</v>
      </c>
      <c r="B1330" s="28">
        <v>147260</v>
      </c>
      <c r="C1330" s="129" t="s">
        <v>578</v>
      </c>
      <c r="D1330" s="128" t="s">
        <v>1240</v>
      </c>
      <c r="E1330" s="128" t="s">
        <v>145</v>
      </c>
      <c r="F1330" s="29">
        <v>28087</v>
      </c>
      <c r="G1330" s="56" t="str">
        <f t="shared" ca="1" si="186"/>
        <v>V 40</v>
      </c>
      <c r="H1330" s="28">
        <f t="shared" ca="1" si="187"/>
        <v>44</v>
      </c>
      <c r="J1330" s="38" t="str">
        <f t="shared" si="181"/>
        <v>Rui Neves</v>
      </c>
      <c r="K1330" s="39">
        <f t="shared" si="182"/>
        <v>788</v>
      </c>
      <c r="L1330" s="39">
        <f t="shared" si="183"/>
        <v>147260</v>
      </c>
      <c r="M1330" s="40">
        <f t="shared" si="188"/>
        <v>28087</v>
      </c>
      <c r="N1330" s="41" t="str">
        <f t="shared" ca="1" si="191"/>
        <v>V 40</v>
      </c>
      <c r="O1330" s="41" t="str">
        <f t="shared" si="184"/>
        <v>M</v>
      </c>
      <c r="P1330" s="60" t="str">
        <f t="shared" si="185"/>
        <v>GDC-M</v>
      </c>
      <c r="Q1330" s="61"/>
    </row>
    <row r="1331" spans="1:17" ht="13">
      <c r="A1331" s="28">
        <v>1589</v>
      </c>
      <c r="B1331" s="28">
        <v>150369</v>
      </c>
      <c r="C1331" s="129" t="s">
        <v>1019</v>
      </c>
      <c r="D1331" s="128" t="s">
        <v>124</v>
      </c>
      <c r="E1331" s="128" t="s">
        <v>146</v>
      </c>
      <c r="F1331" s="29">
        <v>37805</v>
      </c>
      <c r="G1331" s="56" t="str">
        <f t="shared" ca="1" si="186"/>
        <v>Júnior</v>
      </c>
      <c r="H1331" s="28">
        <f t="shared" ca="1" si="187"/>
        <v>17</v>
      </c>
      <c r="J1331" s="38" t="str">
        <f t="shared" si="181"/>
        <v>Diana Ferreira</v>
      </c>
      <c r="K1331" s="39">
        <f t="shared" si="182"/>
        <v>1589</v>
      </c>
      <c r="L1331" s="39">
        <f t="shared" si="183"/>
        <v>150369</v>
      </c>
      <c r="M1331" s="40">
        <f t="shared" si="188"/>
        <v>37805</v>
      </c>
      <c r="N1331" s="41" t="str">
        <f t="shared" ca="1" si="191"/>
        <v>Júnior</v>
      </c>
      <c r="O1331" s="41" t="str">
        <f t="shared" si="184"/>
        <v>F</v>
      </c>
      <c r="P1331" s="60" t="str">
        <f t="shared" si="185"/>
        <v>CSM</v>
      </c>
      <c r="Q1331" s="61"/>
    </row>
    <row r="1332" spans="1:17" ht="13">
      <c r="A1332" s="28">
        <v>304</v>
      </c>
      <c r="B1332" s="28">
        <v>127300</v>
      </c>
      <c r="C1332" s="129" t="s">
        <v>996</v>
      </c>
      <c r="D1332" s="128" t="s">
        <v>125</v>
      </c>
      <c r="E1332" s="128" t="s">
        <v>146</v>
      </c>
      <c r="F1332" s="29">
        <v>36957</v>
      </c>
      <c r="G1332" s="56" t="str">
        <f t="shared" ca="1" si="186"/>
        <v>sub 23</v>
      </c>
      <c r="H1332" s="28">
        <f t="shared" ca="1" si="187"/>
        <v>20</v>
      </c>
      <c r="J1332" s="38" t="str">
        <f t="shared" si="181"/>
        <v>Diana Andrade</v>
      </c>
      <c r="K1332" s="39">
        <f t="shared" si="182"/>
        <v>304</v>
      </c>
      <c r="L1332" s="39">
        <f t="shared" si="183"/>
        <v>127300</v>
      </c>
      <c r="M1332" s="40">
        <f t="shared" si="188"/>
        <v>36957</v>
      </c>
      <c r="N1332" s="41" t="str">
        <f t="shared" ca="1" si="191"/>
        <v>sub 23</v>
      </c>
      <c r="O1332" s="41" t="str">
        <f t="shared" si="184"/>
        <v>F</v>
      </c>
      <c r="P1332" s="60" t="str">
        <f t="shared" si="185"/>
        <v>GDE</v>
      </c>
      <c r="Q1332" s="61"/>
    </row>
    <row r="1333" spans="1:17" ht="13">
      <c r="A1333" s="28">
        <v>786</v>
      </c>
      <c r="B1333" s="28">
        <v>141082</v>
      </c>
      <c r="C1333" s="129" t="s">
        <v>1379</v>
      </c>
      <c r="D1333" s="128" t="s">
        <v>125</v>
      </c>
      <c r="E1333" s="128" t="s">
        <v>145</v>
      </c>
      <c r="F1333" s="29">
        <v>37134</v>
      </c>
      <c r="G1333" s="56" t="str">
        <f t="shared" ca="1" si="186"/>
        <v>sub 23</v>
      </c>
      <c r="H1333" s="28">
        <f t="shared" ca="1" si="187"/>
        <v>19</v>
      </c>
      <c r="J1333" s="38" t="str">
        <f t="shared" si="181"/>
        <v>Rodrigo Barros</v>
      </c>
      <c r="K1333" s="39">
        <f t="shared" si="182"/>
        <v>786</v>
      </c>
      <c r="L1333" s="39">
        <f t="shared" si="183"/>
        <v>141082</v>
      </c>
      <c r="M1333" s="40">
        <f t="shared" si="188"/>
        <v>37134</v>
      </c>
      <c r="N1333" s="41" t="str">
        <f t="shared" ca="1" si="191"/>
        <v>sub 23</v>
      </c>
      <c r="O1333" s="41" t="str">
        <f t="shared" si="184"/>
        <v>M</v>
      </c>
      <c r="P1333" s="60" t="str">
        <f t="shared" si="185"/>
        <v>GDE</v>
      </c>
      <c r="Q1333" s="61"/>
    </row>
    <row r="1334" spans="1:17" ht="13">
      <c r="A1334" s="28">
        <v>1590</v>
      </c>
      <c r="B1334" s="28">
        <v>128038</v>
      </c>
      <c r="C1334" s="129" t="s">
        <v>144</v>
      </c>
      <c r="D1334" s="128" t="s">
        <v>125</v>
      </c>
      <c r="E1334" s="128" t="s">
        <v>146</v>
      </c>
      <c r="F1334" s="29">
        <v>37469</v>
      </c>
      <c r="G1334" s="56" t="str">
        <f t="shared" ca="1" si="186"/>
        <v>Júnior</v>
      </c>
      <c r="H1334" s="28">
        <f t="shared" ca="1" si="187"/>
        <v>18</v>
      </c>
      <c r="J1334" s="38" t="str">
        <f t="shared" si="181"/>
        <v>Sofia Ferreira</v>
      </c>
      <c r="K1334" s="39">
        <f t="shared" si="182"/>
        <v>1590</v>
      </c>
      <c r="L1334" s="39">
        <f t="shared" si="183"/>
        <v>128038</v>
      </c>
      <c r="M1334" s="40">
        <f t="shared" si="188"/>
        <v>37469</v>
      </c>
      <c r="N1334" s="41" t="str">
        <f t="shared" ca="1" si="191"/>
        <v>Júnior</v>
      </c>
      <c r="O1334" s="41" t="str">
        <f t="shared" si="184"/>
        <v>F</v>
      </c>
      <c r="P1334" s="60" t="str">
        <f t="shared" si="185"/>
        <v>GDE</v>
      </c>
      <c r="Q1334" s="61"/>
    </row>
    <row r="1335" spans="1:17" ht="13">
      <c r="A1335" s="28">
        <v>787</v>
      </c>
      <c r="B1335" s="28">
        <v>162811</v>
      </c>
      <c r="C1335" s="129" t="s">
        <v>1433</v>
      </c>
      <c r="D1335" s="128" t="s">
        <v>124</v>
      </c>
      <c r="E1335" s="128" t="s">
        <v>145</v>
      </c>
      <c r="F1335" s="29">
        <v>22431</v>
      </c>
      <c r="G1335" s="56" t="str">
        <f t="shared" ca="1" si="186"/>
        <v>V 55</v>
      </c>
      <c r="H1335" s="28">
        <f t="shared" ca="1" si="187"/>
        <v>59</v>
      </c>
      <c r="J1335" s="38" t="str">
        <f t="shared" si="181"/>
        <v>João Duarte Sousa</v>
      </c>
      <c r="K1335" s="39">
        <f t="shared" si="182"/>
        <v>787</v>
      </c>
      <c r="L1335" s="39">
        <f t="shared" si="183"/>
        <v>162811</v>
      </c>
      <c r="M1335" s="40">
        <f t="shared" si="188"/>
        <v>22431</v>
      </c>
      <c r="N1335" s="41" t="str">
        <f t="shared" ca="1" si="191"/>
        <v>V 55</v>
      </c>
      <c r="O1335" s="41" t="str">
        <f t="shared" si="184"/>
        <v>M</v>
      </c>
      <c r="P1335" s="60" t="str">
        <f t="shared" si="185"/>
        <v>CSM</v>
      </c>
      <c r="Q1335" s="61"/>
    </row>
    <row r="1336" spans="1:17" ht="13">
      <c r="A1336" s="28">
        <v>2215</v>
      </c>
      <c r="B1336" s="28">
        <v>163832</v>
      </c>
      <c r="C1336" s="129" t="s">
        <v>1580</v>
      </c>
      <c r="D1336" s="128" t="s">
        <v>123</v>
      </c>
      <c r="E1336" s="128" t="s">
        <v>145</v>
      </c>
      <c r="F1336" s="29">
        <v>41871</v>
      </c>
      <c r="G1336" s="56" t="str">
        <f t="shared" ca="1" si="186"/>
        <v>Benjamim A</v>
      </c>
      <c r="H1336" s="28">
        <f t="shared" ca="1" si="187"/>
        <v>6</v>
      </c>
      <c r="J1336" s="38" t="str">
        <f t="shared" si="181"/>
        <v>Duarte Baeta</v>
      </c>
      <c r="K1336" s="39">
        <f t="shared" si="182"/>
        <v>2215</v>
      </c>
      <c r="L1336" s="39">
        <f t="shared" si="183"/>
        <v>163832</v>
      </c>
      <c r="M1336" s="40">
        <f t="shared" si="188"/>
        <v>41871</v>
      </c>
      <c r="N1336" s="41" t="str">
        <f t="shared" ca="1" si="191"/>
        <v>Benjamim A</v>
      </c>
      <c r="O1336" s="41" t="str">
        <f t="shared" si="184"/>
        <v>M</v>
      </c>
      <c r="P1336" s="60" t="str">
        <f t="shared" si="185"/>
        <v>AJS</v>
      </c>
      <c r="Q1336" s="61"/>
    </row>
    <row r="1337" spans="1:17" ht="13">
      <c r="A1337" s="28">
        <v>305</v>
      </c>
      <c r="B1337" s="28">
        <v>165253</v>
      </c>
      <c r="C1337" s="129" t="s">
        <v>1487</v>
      </c>
      <c r="D1337" s="128" t="s">
        <v>1240</v>
      </c>
      <c r="E1337" s="128" t="s">
        <v>146</v>
      </c>
      <c r="F1337" s="29">
        <v>37698</v>
      </c>
      <c r="G1337" s="56" t="str">
        <f t="shared" ca="1" si="186"/>
        <v>Júnior</v>
      </c>
      <c r="H1337" s="28">
        <f t="shared" ca="1" si="187"/>
        <v>18</v>
      </c>
      <c r="J1337" s="38" t="str">
        <f t="shared" si="181"/>
        <v>Filipa Jesus</v>
      </c>
      <c r="K1337" s="39">
        <f t="shared" si="182"/>
        <v>305</v>
      </c>
      <c r="L1337" s="39">
        <f t="shared" si="183"/>
        <v>165253</v>
      </c>
      <c r="M1337" s="40">
        <f t="shared" si="188"/>
        <v>37698</v>
      </c>
      <c r="N1337" s="41" t="str">
        <f t="shared" ca="1" si="191"/>
        <v>Júnior</v>
      </c>
      <c r="O1337" s="41" t="str">
        <f t="shared" si="184"/>
        <v>F</v>
      </c>
      <c r="P1337" s="60" t="str">
        <f t="shared" si="185"/>
        <v>GDC-M</v>
      </c>
      <c r="Q1337" s="61"/>
    </row>
    <row r="1338" spans="1:17" ht="13">
      <c r="A1338" s="28">
        <v>2214</v>
      </c>
      <c r="B1338" s="28">
        <v>163992</v>
      </c>
      <c r="C1338" s="129" t="s">
        <v>1581</v>
      </c>
      <c r="D1338" s="128" t="s">
        <v>123</v>
      </c>
      <c r="E1338" s="128" t="s">
        <v>145</v>
      </c>
      <c r="F1338" s="29">
        <v>40670</v>
      </c>
      <c r="G1338" s="56" t="str">
        <f t="shared" ca="1" si="186"/>
        <v>Benjamim B</v>
      </c>
      <c r="H1338" s="28">
        <f t="shared" ca="1" si="187"/>
        <v>9</v>
      </c>
      <c r="J1338" s="38" t="str">
        <f t="shared" si="181"/>
        <v>Hugo Ornelas</v>
      </c>
      <c r="K1338" s="39">
        <f t="shared" si="182"/>
        <v>2214</v>
      </c>
      <c r="L1338" s="39">
        <f t="shared" si="183"/>
        <v>163992</v>
      </c>
      <c r="M1338" s="40">
        <f t="shared" si="188"/>
        <v>40670</v>
      </c>
      <c r="N1338" s="41" t="str">
        <f t="shared" ca="1" si="191"/>
        <v>Benjamim B</v>
      </c>
      <c r="O1338" s="41" t="str">
        <f t="shared" si="184"/>
        <v>M</v>
      </c>
      <c r="P1338" s="60" t="str">
        <f t="shared" si="185"/>
        <v>AJS</v>
      </c>
      <c r="Q1338" s="61"/>
    </row>
    <row r="1339" spans="1:17" ht="13">
      <c r="A1339" s="28">
        <v>2097</v>
      </c>
      <c r="B1339" s="28">
        <v>163970</v>
      </c>
      <c r="C1339" s="129" t="s">
        <v>1568</v>
      </c>
      <c r="D1339" s="128" t="s">
        <v>123</v>
      </c>
      <c r="E1339" s="128" t="s">
        <v>146</v>
      </c>
      <c r="F1339" s="29">
        <v>40713</v>
      </c>
      <c r="G1339" s="56" t="str">
        <f t="shared" ca="1" si="186"/>
        <v>Benjamim B</v>
      </c>
      <c r="H1339" s="28">
        <f t="shared" ca="1" si="187"/>
        <v>9</v>
      </c>
      <c r="J1339" s="38" t="str">
        <f t="shared" si="181"/>
        <v>Susana I. Santos</v>
      </c>
      <c r="K1339" s="39">
        <f t="shared" si="182"/>
        <v>2097</v>
      </c>
      <c r="L1339" s="39">
        <f t="shared" si="183"/>
        <v>163970</v>
      </c>
      <c r="M1339" s="40">
        <f t="shared" si="188"/>
        <v>40713</v>
      </c>
      <c r="N1339" s="41" t="str">
        <f t="shared" ca="1" si="191"/>
        <v>Benjamim B</v>
      </c>
      <c r="O1339" s="41" t="str">
        <f t="shared" si="184"/>
        <v>F</v>
      </c>
      <c r="P1339" s="60" t="str">
        <f t="shared" si="185"/>
        <v>AJS</v>
      </c>
      <c r="Q1339" s="61"/>
    </row>
    <row r="1340" spans="1:17" ht="13">
      <c r="A1340" s="28">
        <v>2098</v>
      </c>
      <c r="B1340" s="28">
        <v>165252</v>
      </c>
      <c r="C1340" s="129" t="s">
        <v>1638</v>
      </c>
      <c r="D1340" s="128" t="s">
        <v>1646</v>
      </c>
      <c r="E1340" s="128" t="s">
        <v>146</v>
      </c>
      <c r="F1340" s="29">
        <v>41488</v>
      </c>
      <c r="G1340" s="56" t="str">
        <f t="shared" ca="1" si="186"/>
        <v>Benjamim A</v>
      </c>
      <c r="H1340" s="28">
        <f t="shared" ca="1" si="187"/>
        <v>7</v>
      </c>
      <c r="J1340" s="38" t="str">
        <f t="shared" si="181"/>
        <v>Ariana Almeida</v>
      </c>
      <c r="K1340" s="39">
        <f t="shared" si="182"/>
        <v>2098</v>
      </c>
      <c r="L1340" s="39">
        <f t="shared" si="183"/>
        <v>165252</v>
      </c>
      <c r="M1340" s="40">
        <f t="shared" si="188"/>
        <v>41488</v>
      </c>
      <c r="N1340" s="41" t="str">
        <f t="shared" ca="1" si="191"/>
        <v>Benjamim A</v>
      </c>
      <c r="O1340" s="41" t="str">
        <f t="shared" si="184"/>
        <v>F</v>
      </c>
      <c r="P1340" s="60" t="str">
        <f t="shared" si="185"/>
        <v>AAM-M</v>
      </c>
      <c r="Q1340" s="61"/>
    </row>
    <row r="1341" spans="1:17" ht="13">
      <c r="A1341" s="28">
        <v>1784</v>
      </c>
      <c r="B1341" s="28">
        <v>147435</v>
      </c>
      <c r="C1341" s="129" t="s">
        <v>1332</v>
      </c>
      <c r="D1341" s="128" t="s">
        <v>125</v>
      </c>
      <c r="E1341" s="128" t="s">
        <v>146</v>
      </c>
      <c r="F1341" s="29">
        <v>39439</v>
      </c>
      <c r="G1341" s="56" t="str">
        <f t="shared" ca="1" si="186"/>
        <v>Iniciado</v>
      </c>
      <c r="H1341" s="28">
        <f t="shared" ca="1" si="187"/>
        <v>13</v>
      </c>
      <c r="J1341" s="38" t="str">
        <f t="shared" si="181"/>
        <v>Carolina Pita</v>
      </c>
      <c r="K1341" s="39">
        <f t="shared" si="182"/>
        <v>1784</v>
      </c>
      <c r="L1341" s="39">
        <f t="shared" si="183"/>
        <v>147435</v>
      </c>
      <c r="M1341" s="40">
        <f t="shared" si="188"/>
        <v>39439</v>
      </c>
      <c r="N1341" s="41" t="str">
        <f t="shared" ca="1" si="191"/>
        <v>Iniciado</v>
      </c>
      <c r="O1341" s="41" t="str">
        <f t="shared" si="184"/>
        <v>F</v>
      </c>
      <c r="P1341" s="60" t="str">
        <f t="shared" si="185"/>
        <v>GDE</v>
      </c>
      <c r="Q1341" s="61"/>
    </row>
    <row r="1342" spans="1:17" ht="13">
      <c r="A1342" s="28">
        <v>1591</v>
      </c>
      <c r="B1342" s="28">
        <v>125119</v>
      </c>
      <c r="C1342" s="129" t="s">
        <v>103</v>
      </c>
      <c r="D1342" s="128" t="s">
        <v>125</v>
      </c>
      <c r="E1342" s="128" t="s">
        <v>146</v>
      </c>
      <c r="F1342" s="29">
        <v>37671</v>
      </c>
      <c r="G1342" s="56" t="str">
        <f t="shared" ca="1" si="186"/>
        <v>Júnior</v>
      </c>
      <c r="H1342" s="28">
        <f t="shared" ca="1" si="187"/>
        <v>18</v>
      </c>
      <c r="J1342" s="38" t="str">
        <f t="shared" si="181"/>
        <v>Catarina Pinto</v>
      </c>
      <c r="K1342" s="39">
        <f t="shared" si="182"/>
        <v>1591</v>
      </c>
      <c r="L1342" s="39">
        <f t="shared" si="183"/>
        <v>125119</v>
      </c>
      <c r="M1342" s="40">
        <f t="shared" si="188"/>
        <v>37671</v>
      </c>
      <c r="N1342" s="41" t="str">
        <f t="shared" ca="1" si="191"/>
        <v>Júnior</v>
      </c>
      <c r="O1342" s="41" t="str">
        <f t="shared" si="184"/>
        <v>F</v>
      </c>
      <c r="P1342" s="60" t="str">
        <f t="shared" si="185"/>
        <v>GDE</v>
      </c>
      <c r="Q1342" s="61"/>
    </row>
    <row r="1343" spans="1:17" ht="13">
      <c r="A1343" s="28">
        <v>1697</v>
      </c>
      <c r="B1343" s="28">
        <v>151776</v>
      </c>
      <c r="C1343" s="129" t="s">
        <v>1326</v>
      </c>
      <c r="D1343" s="128" t="s">
        <v>125</v>
      </c>
      <c r="E1343" s="128" t="s">
        <v>145</v>
      </c>
      <c r="F1343" s="29">
        <v>37736</v>
      </c>
      <c r="G1343" s="56" t="str">
        <f t="shared" ca="1" si="186"/>
        <v>Júnior</v>
      </c>
      <c r="H1343" s="28">
        <f t="shared" ca="1" si="187"/>
        <v>17</v>
      </c>
      <c r="J1343" s="38" t="str">
        <f t="shared" si="181"/>
        <v>Francisco A. Pereira</v>
      </c>
      <c r="K1343" s="39">
        <f t="shared" si="182"/>
        <v>1697</v>
      </c>
      <c r="L1343" s="39">
        <f t="shared" si="183"/>
        <v>151776</v>
      </c>
      <c r="M1343" s="40">
        <f t="shared" si="188"/>
        <v>37736</v>
      </c>
      <c r="N1343" s="41" t="str">
        <f t="shared" ca="1" si="191"/>
        <v>Júnior</v>
      </c>
      <c r="O1343" s="41" t="str">
        <f t="shared" si="184"/>
        <v>M</v>
      </c>
      <c r="P1343" s="60" t="str">
        <f t="shared" si="185"/>
        <v>GDE</v>
      </c>
      <c r="Q1343" s="61"/>
    </row>
    <row r="1344" spans="1:17" ht="13">
      <c r="A1344" s="28">
        <v>1592</v>
      </c>
      <c r="B1344" s="28">
        <v>126993</v>
      </c>
      <c r="C1344" s="129" t="s">
        <v>949</v>
      </c>
      <c r="D1344" s="128" t="s">
        <v>125</v>
      </c>
      <c r="E1344" s="128" t="s">
        <v>146</v>
      </c>
      <c r="F1344" s="29">
        <v>37770</v>
      </c>
      <c r="G1344" s="56" t="str">
        <f t="shared" ca="1" si="186"/>
        <v>Júnior</v>
      </c>
      <c r="H1344" s="28">
        <f t="shared" ca="1" si="187"/>
        <v>17</v>
      </c>
      <c r="J1344" s="38" t="str">
        <f t="shared" si="181"/>
        <v>Catarina Sá</v>
      </c>
      <c r="K1344" s="39">
        <f t="shared" si="182"/>
        <v>1592</v>
      </c>
      <c r="L1344" s="39">
        <f t="shared" si="183"/>
        <v>126993</v>
      </c>
      <c r="M1344" s="40">
        <f t="shared" si="188"/>
        <v>37770</v>
      </c>
      <c r="N1344" s="41" t="str">
        <f t="shared" ca="1" si="191"/>
        <v>Júnior</v>
      </c>
      <c r="O1344" s="41" t="str">
        <f t="shared" si="184"/>
        <v>F</v>
      </c>
      <c r="P1344" s="60" t="str">
        <f t="shared" si="185"/>
        <v>GDE</v>
      </c>
      <c r="Q1344" s="61"/>
    </row>
    <row r="1345" spans="1:17" ht="13">
      <c r="A1345" s="28">
        <v>1877</v>
      </c>
      <c r="B1345" s="28">
        <v>163690</v>
      </c>
      <c r="C1345" s="129" t="s">
        <v>1600</v>
      </c>
      <c r="D1345" s="128" t="s">
        <v>97</v>
      </c>
      <c r="E1345" s="128" t="s">
        <v>145</v>
      </c>
      <c r="F1345" s="29">
        <v>39101</v>
      </c>
      <c r="G1345" s="56" t="str">
        <f t="shared" ca="1" si="186"/>
        <v>Iniciado</v>
      </c>
      <c r="H1345" s="28">
        <f t="shared" ca="1" si="187"/>
        <v>14</v>
      </c>
      <c r="J1345" s="38" t="str">
        <f t="shared" si="181"/>
        <v>Roberto D. Gomes</v>
      </c>
      <c r="K1345" s="39">
        <f t="shared" si="182"/>
        <v>1877</v>
      </c>
      <c r="L1345" s="39">
        <f t="shared" si="183"/>
        <v>163690</v>
      </c>
      <c r="M1345" s="40">
        <f t="shared" si="188"/>
        <v>39101</v>
      </c>
      <c r="N1345" s="41" t="str">
        <f t="shared" ca="1" si="191"/>
        <v>Iniciado</v>
      </c>
      <c r="O1345" s="41" t="str">
        <f t="shared" si="184"/>
        <v>M</v>
      </c>
      <c r="P1345" s="60" t="str">
        <f t="shared" si="185"/>
        <v>ADRAP</v>
      </c>
      <c r="Q1345" s="61"/>
    </row>
    <row r="1346" spans="1:17" ht="13">
      <c r="A1346" s="28">
        <v>784</v>
      </c>
      <c r="B1346" s="28">
        <v>135382</v>
      </c>
      <c r="C1346" s="129" t="s">
        <v>1350</v>
      </c>
      <c r="D1346" s="128" t="s">
        <v>97</v>
      </c>
      <c r="E1346" s="128" t="s">
        <v>145</v>
      </c>
      <c r="F1346" s="29">
        <v>32334</v>
      </c>
      <c r="G1346" s="56" t="str">
        <f t="shared" ca="1" si="186"/>
        <v>Sénior</v>
      </c>
      <c r="H1346" s="28">
        <f t="shared" ca="1" si="187"/>
        <v>32</v>
      </c>
      <c r="J1346" s="38" t="str">
        <f t="shared" ref="J1346:J1409" si="192">C1346</f>
        <v>Bruno Vaz Moniz</v>
      </c>
      <c r="K1346" s="39">
        <f t="shared" ref="K1346:K1409" si="193">A1346</f>
        <v>784</v>
      </c>
      <c r="L1346" s="39">
        <f t="shared" ref="L1346:L1409" si="194">B1346</f>
        <v>135382</v>
      </c>
      <c r="M1346" s="40">
        <f t="shared" si="188"/>
        <v>32334</v>
      </c>
      <c r="N1346" s="41" t="str">
        <f t="shared" ca="1" si="191"/>
        <v>Sénior</v>
      </c>
      <c r="O1346" s="41" t="str">
        <f t="shared" ref="O1346:O1409" si="195">E1346</f>
        <v>M</v>
      </c>
      <c r="P1346" s="60" t="str">
        <f t="shared" ref="P1346:P1409" si="196">D1346</f>
        <v>ADRAP</v>
      </c>
      <c r="Q1346" s="61"/>
    </row>
    <row r="1347" spans="1:17" ht="13">
      <c r="A1347" s="28">
        <v>783</v>
      </c>
      <c r="B1347" s="28">
        <v>163702</v>
      </c>
      <c r="C1347" s="129" t="s">
        <v>1531</v>
      </c>
      <c r="D1347" s="128" t="s">
        <v>164</v>
      </c>
      <c r="E1347" s="128" t="s">
        <v>145</v>
      </c>
      <c r="F1347" s="29">
        <v>24001</v>
      </c>
      <c r="G1347" s="5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B",IF(YEAR(TODAY())-YEAR(F1347)&lt;14,"Infantil",IF(YEAR(TODAY())-YEAR(F1347)&lt;16,"Iniciado",IF(YEAR(TODAY())-YEAR(F1347)&lt;18,"Juvenil",IF(YEAR(TODAY())-YEAR(F1347)&lt;20,"Júnior",IF(YEAR(TODAY())-YEAR(F1347)&lt;23,"sub 23",IF(ROUNDDOWN(INT(TODAY()-F1347)/365.25,0)&lt;35,"Sénior",IF(ROUNDDOWN(INT(TODAY()-F1347)/365.25,0)&lt;40,"V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65",IF(ROUNDDOWN(INT(TODAY()-F1347)/365.25,0)&lt;75,"V 70",IF(ROUNDDOWN(INT(TODAY()-F1347)/365.25,0)&lt;80,"V 75",IF(ROUNDDOWN(INT(TODAY()-F1347)/365.25,0)&lt;85,"V 80",IF(ROUNDDOWN(INT(TODAY()-F1347)/365.25,0)&lt;90,"V 85",IF(ROUNDDOWN(INT(TODAY()-F1347)/365.25,0)&lt;95,"V 90",IF(ROUNDDOWN(INT(TODAY()-F1347)/365.25,0)&lt;100,"V 95",IF(ROUNDDOWN(INT(TODAY()-F1347)/365.25,0)&gt;=100,"V 100",""))))))))))))))))))))))),"")</f>
        <v>V 55</v>
      </c>
      <c r="H1347" s="28">
        <f t="shared" ref="H1347:H1410" ca="1" si="198">IFERROR(IF($A1347&gt;0,ROUNDDOWN(INT(TODAY()-F1347)/365.25,0),""),"")</f>
        <v>55</v>
      </c>
      <c r="J1347" s="38" t="str">
        <f t="shared" si="192"/>
        <v>José Hilário</v>
      </c>
      <c r="K1347" s="39">
        <f t="shared" si="193"/>
        <v>783</v>
      </c>
      <c r="L1347" s="39">
        <f t="shared" si="194"/>
        <v>163702</v>
      </c>
      <c r="M1347" s="40">
        <f t="shared" ref="M1347:M1410" si="199">F1347</f>
        <v>24001</v>
      </c>
      <c r="N1347" s="41" t="str">
        <f t="shared" ref="N1347:N1410" ca="1" si="200">G1347</f>
        <v>V 55</v>
      </c>
      <c r="O1347" s="41" t="str">
        <f t="shared" si="195"/>
        <v>M</v>
      </c>
      <c r="P1347" s="60" t="str">
        <f t="shared" si="196"/>
        <v>CPCL</v>
      </c>
      <c r="Q1347" s="61"/>
    </row>
    <row r="1348" spans="1:17" ht="13">
      <c r="A1348" s="28">
        <v>782</v>
      </c>
      <c r="B1348" s="28">
        <v>123866</v>
      </c>
      <c r="C1348" s="129" t="s">
        <v>256</v>
      </c>
      <c r="D1348" s="128" t="s">
        <v>125</v>
      </c>
      <c r="E1348" s="128" t="s">
        <v>145</v>
      </c>
      <c r="F1348" s="29">
        <v>33028</v>
      </c>
      <c r="G1348" s="56" t="str">
        <f t="shared" ca="1" si="197"/>
        <v>Sénior</v>
      </c>
      <c r="H1348" s="28">
        <f t="shared" ca="1" si="198"/>
        <v>30</v>
      </c>
      <c r="J1348" s="38" t="str">
        <f t="shared" si="192"/>
        <v>Jorge Pestana</v>
      </c>
      <c r="K1348" s="39">
        <f t="shared" si="193"/>
        <v>782</v>
      </c>
      <c r="L1348" s="39">
        <f t="shared" si="194"/>
        <v>123866</v>
      </c>
      <c r="M1348" s="40">
        <f t="shared" si="199"/>
        <v>33028</v>
      </c>
      <c r="N1348" s="41" t="str">
        <f t="shared" ca="1" si="200"/>
        <v>Sénior</v>
      </c>
      <c r="O1348" s="41" t="str">
        <f t="shared" si="195"/>
        <v>M</v>
      </c>
      <c r="P1348" s="60" t="str">
        <f t="shared" si="196"/>
        <v>GDE</v>
      </c>
      <c r="Q1348" s="61"/>
    </row>
    <row r="1349" spans="1:17" ht="13">
      <c r="A1349" s="28">
        <v>781</v>
      </c>
      <c r="B1349" s="28">
        <v>139559</v>
      </c>
      <c r="C1349" s="129" t="s">
        <v>1522</v>
      </c>
      <c r="D1349" s="128" t="s">
        <v>125</v>
      </c>
      <c r="E1349" s="128" t="s">
        <v>145</v>
      </c>
      <c r="F1349" s="29">
        <v>34761</v>
      </c>
      <c r="G1349" s="56" t="str">
        <f t="shared" ca="1" si="197"/>
        <v>Sénior</v>
      </c>
      <c r="H1349" s="28">
        <f t="shared" ca="1" si="198"/>
        <v>26</v>
      </c>
      <c r="J1349" s="38" t="str">
        <f t="shared" si="192"/>
        <v>Vítor J. Gouveia</v>
      </c>
      <c r="K1349" s="39">
        <f t="shared" si="193"/>
        <v>781</v>
      </c>
      <c r="L1349" s="39">
        <f t="shared" si="194"/>
        <v>139559</v>
      </c>
      <c r="M1349" s="40">
        <f t="shared" si="199"/>
        <v>34761</v>
      </c>
      <c r="N1349" s="41" t="str">
        <f t="shared" ca="1" si="200"/>
        <v>Sénior</v>
      </c>
      <c r="O1349" s="41" t="str">
        <f t="shared" si="195"/>
        <v>M</v>
      </c>
      <c r="P1349" s="60" t="str">
        <f t="shared" si="196"/>
        <v>GDE</v>
      </c>
      <c r="Q1349" s="61"/>
    </row>
    <row r="1350" spans="1:17" ht="13">
      <c r="A1350" s="28">
        <v>306</v>
      </c>
      <c r="B1350" s="28">
        <v>127686</v>
      </c>
      <c r="C1350" s="129" t="s">
        <v>1592</v>
      </c>
      <c r="D1350" s="128" t="s">
        <v>97</v>
      </c>
      <c r="E1350" s="128" t="s">
        <v>146</v>
      </c>
      <c r="F1350" s="29">
        <v>30130</v>
      </c>
      <c r="G1350" s="56" t="str">
        <f t="shared" ca="1" si="197"/>
        <v>V 35</v>
      </c>
      <c r="H1350" s="28">
        <f t="shared" ca="1" si="198"/>
        <v>38</v>
      </c>
      <c r="J1350" s="38" t="str">
        <f t="shared" si="192"/>
        <v>Sónia C. Rodrigues</v>
      </c>
      <c r="K1350" s="39">
        <f t="shared" si="193"/>
        <v>306</v>
      </c>
      <c r="L1350" s="39">
        <f t="shared" si="194"/>
        <v>127686</v>
      </c>
      <c r="M1350" s="40">
        <f t="shared" si="199"/>
        <v>30130</v>
      </c>
      <c r="N1350" s="41" t="str">
        <f t="shared" ca="1" si="200"/>
        <v>V 35</v>
      </c>
      <c r="O1350" s="41" t="str">
        <f t="shared" si="195"/>
        <v>F</v>
      </c>
      <c r="P1350" s="60" t="str">
        <f t="shared" si="196"/>
        <v>ADRAP</v>
      </c>
      <c r="Q1350" s="61"/>
    </row>
    <row r="1351" spans="1:17" ht="13">
      <c r="A1351" s="28">
        <v>307</v>
      </c>
      <c r="B1351" s="28">
        <v>126779</v>
      </c>
      <c r="C1351" s="129" t="s">
        <v>1385</v>
      </c>
      <c r="D1351" s="128" t="s">
        <v>124</v>
      </c>
      <c r="E1351" s="128" t="s">
        <v>146</v>
      </c>
      <c r="F1351" s="29">
        <v>36509</v>
      </c>
      <c r="G1351" s="56" t="str">
        <f t="shared" ca="1" si="197"/>
        <v>sub 23</v>
      </c>
      <c r="H1351" s="28">
        <f t="shared" ca="1" si="198"/>
        <v>21</v>
      </c>
      <c r="J1351" s="38" t="str">
        <f t="shared" si="192"/>
        <v>Margarida Santos</v>
      </c>
      <c r="K1351" s="39">
        <f t="shared" si="193"/>
        <v>307</v>
      </c>
      <c r="L1351" s="39">
        <f t="shared" si="194"/>
        <v>126779</v>
      </c>
      <c r="M1351" s="40">
        <f t="shared" si="199"/>
        <v>36509</v>
      </c>
      <c r="N1351" s="41" t="str">
        <f t="shared" ca="1" si="200"/>
        <v>sub 23</v>
      </c>
      <c r="O1351" s="41" t="str">
        <f t="shared" si="195"/>
        <v>F</v>
      </c>
      <c r="P1351" s="60" t="str">
        <f t="shared" si="196"/>
        <v>CSM</v>
      </c>
      <c r="Q1351" s="61"/>
    </row>
    <row r="1352" spans="1:17" ht="13">
      <c r="A1352" s="28">
        <v>308</v>
      </c>
      <c r="B1352" s="28">
        <v>126384</v>
      </c>
      <c r="C1352" s="129" t="s">
        <v>1258</v>
      </c>
      <c r="D1352" s="128" t="s">
        <v>125</v>
      </c>
      <c r="E1352" s="128" t="s">
        <v>146</v>
      </c>
      <c r="F1352" s="29">
        <v>34226</v>
      </c>
      <c r="G1352" s="56" t="str">
        <f t="shared" ca="1" si="197"/>
        <v>Sénior</v>
      </c>
      <c r="H1352" s="28">
        <f t="shared" ca="1" si="198"/>
        <v>27</v>
      </c>
      <c r="J1352" s="38" t="str">
        <f t="shared" si="192"/>
        <v>Daniela Sousa</v>
      </c>
      <c r="K1352" s="39">
        <f t="shared" si="193"/>
        <v>308</v>
      </c>
      <c r="L1352" s="39">
        <f t="shared" si="194"/>
        <v>126384</v>
      </c>
      <c r="M1352" s="40">
        <f t="shared" si="199"/>
        <v>34226</v>
      </c>
      <c r="N1352" s="41" t="str">
        <f t="shared" ca="1" si="200"/>
        <v>Sénior</v>
      </c>
      <c r="O1352" s="41" t="str">
        <f t="shared" si="195"/>
        <v>F</v>
      </c>
      <c r="P1352" s="60" t="str">
        <f t="shared" si="196"/>
        <v>GDE</v>
      </c>
      <c r="Q1352" s="61"/>
    </row>
    <row r="1353" spans="1:17" ht="13">
      <c r="A1353" s="28">
        <v>309</v>
      </c>
      <c r="B1353" s="28">
        <v>131334</v>
      </c>
      <c r="C1353" s="129" t="s">
        <v>951</v>
      </c>
      <c r="D1353" s="128" t="s">
        <v>125</v>
      </c>
      <c r="E1353" s="128" t="s">
        <v>146</v>
      </c>
      <c r="F1353" s="29">
        <v>36999</v>
      </c>
      <c r="G1353" s="56" t="str">
        <f t="shared" ca="1" si="197"/>
        <v>sub 23</v>
      </c>
      <c r="H1353" s="28">
        <f t="shared" ca="1" si="198"/>
        <v>20</v>
      </c>
      <c r="J1353" s="38" t="str">
        <f t="shared" si="192"/>
        <v>Mariana Pestana</v>
      </c>
      <c r="K1353" s="39">
        <f t="shared" si="193"/>
        <v>309</v>
      </c>
      <c r="L1353" s="39">
        <f t="shared" si="194"/>
        <v>131334</v>
      </c>
      <c r="M1353" s="40">
        <f t="shared" si="199"/>
        <v>36999</v>
      </c>
      <c r="N1353" s="41" t="str">
        <f t="shared" ca="1" si="200"/>
        <v>sub 23</v>
      </c>
      <c r="O1353" s="41" t="str">
        <f t="shared" si="195"/>
        <v>F</v>
      </c>
      <c r="P1353" s="60" t="str">
        <f t="shared" si="196"/>
        <v>GDE</v>
      </c>
      <c r="Q1353" s="61"/>
    </row>
    <row r="1354" spans="1:17" ht="13">
      <c r="A1354" s="28">
        <v>310</v>
      </c>
      <c r="B1354" s="28">
        <v>126987</v>
      </c>
      <c r="C1354" s="129" t="s">
        <v>1022</v>
      </c>
      <c r="D1354" s="128" t="s">
        <v>125</v>
      </c>
      <c r="E1354" s="128" t="s">
        <v>146</v>
      </c>
      <c r="F1354" s="29">
        <v>36655</v>
      </c>
      <c r="G1354" s="56" t="str">
        <f t="shared" ca="1" si="197"/>
        <v>sub 23</v>
      </c>
      <c r="H1354" s="28">
        <f t="shared" ca="1" si="198"/>
        <v>20</v>
      </c>
      <c r="J1354" s="38" t="str">
        <f t="shared" si="192"/>
        <v>Tatiana Silva</v>
      </c>
      <c r="K1354" s="39">
        <f t="shared" si="193"/>
        <v>310</v>
      </c>
      <c r="L1354" s="39">
        <f t="shared" si="194"/>
        <v>126987</v>
      </c>
      <c r="M1354" s="40">
        <f t="shared" si="199"/>
        <v>36655</v>
      </c>
      <c r="N1354" s="41" t="str">
        <f t="shared" ca="1" si="200"/>
        <v>sub 23</v>
      </c>
      <c r="O1354" s="41" t="str">
        <f t="shared" si="195"/>
        <v>F</v>
      </c>
      <c r="P1354" s="60" t="str">
        <f t="shared" si="196"/>
        <v>GDE</v>
      </c>
      <c r="Q1354" s="61"/>
    </row>
    <row r="1355" spans="1:17" ht="13">
      <c r="A1355" s="28">
        <v>1593</v>
      </c>
      <c r="B1355" s="28">
        <v>131220</v>
      </c>
      <c r="C1355" s="129" t="s">
        <v>948</v>
      </c>
      <c r="D1355" s="128" t="s">
        <v>125</v>
      </c>
      <c r="E1355" s="128" t="s">
        <v>146</v>
      </c>
      <c r="F1355" s="29">
        <v>38110</v>
      </c>
      <c r="G1355" s="56" t="str">
        <f t="shared" ca="1" si="197"/>
        <v>Juvenil</v>
      </c>
      <c r="H1355" s="28">
        <f t="shared" ca="1" si="198"/>
        <v>16</v>
      </c>
      <c r="J1355" s="38" t="str">
        <f t="shared" si="192"/>
        <v>Filipa Ferreira</v>
      </c>
      <c r="K1355" s="39">
        <f t="shared" si="193"/>
        <v>1593</v>
      </c>
      <c r="L1355" s="39">
        <f t="shared" si="194"/>
        <v>131220</v>
      </c>
      <c r="M1355" s="40">
        <f t="shared" si="199"/>
        <v>38110</v>
      </c>
      <c r="N1355" s="41" t="str">
        <f t="shared" ca="1" si="200"/>
        <v>Juvenil</v>
      </c>
      <c r="O1355" s="41" t="str">
        <f t="shared" si="195"/>
        <v>F</v>
      </c>
      <c r="P1355" s="60" t="str">
        <f t="shared" si="196"/>
        <v>GDE</v>
      </c>
      <c r="Q1355" s="61"/>
    </row>
    <row r="1356" spans="1:17" ht="13">
      <c r="A1356" s="28">
        <v>1916</v>
      </c>
      <c r="B1356" s="28">
        <v>165341</v>
      </c>
      <c r="C1356" s="129" t="s">
        <v>1569</v>
      </c>
      <c r="D1356" s="128" t="s">
        <v>123</v>
      </c>
      <c r="E1356" s="128" t="s">
        <v>146</v>
      </c>
      <c r="F1356" s="29">
        <v>40106</v>
      </c>
      <c r="G1356" s="56" t="str">
        <f t="shared" ca="1" si="197"/>
        <v>Infantil</v>
      </c>
      <c r="H1356" s="28">
        <f t="shared" ca="1" si="198"/>
        <v>11</v>
      </c>
      <c r="J1356" s="38" t="str">
        <f t="shared" si="192"/>
        <v>Diana Rodrigues</v>
      </c>
      <c r="K1356" s="39">
        <f t="shared" si="193"/>
        <v>1916</v>
      </c>
      <c r="L1356" s="39">
        <f t="shared" si="194"/>
        <v>165341</v>
      </c>
      <c r="M1356" s="40">
        <f t="shared" si="199"/>
        <v>40106</v>
      </c>
      <c r="N1356" s="41" t="str">
        <f t="shared" ca="1" si="200"/>
        <v>Infantil</v>
      </c>
      <c r="O1356" s="41" t="str">
        <f t="shared" si="195"/>
        <v>F</v>
      </c>
      <c r="P1356" s="60" t="str">
        <f t="shared" si="196"/>
        <v>AJS</v>
      </c>
      <c r="Q1356" s="61"/>
    </row>
    <row r="1357" spans="1:17" ht="13">
      <c r="A1357" s="28">
        <v>780</v>
      </c>
      <c r="B1357" s="28">
        <v>127129</v>
      </c>
      <c r="C1357" s="129" t="s">
        <v>1610</v>
      </c>
      <c r="D1357" s="128" t="s">
        <v>125</v>
      </c>
      <c r="E1357" s="128" t="s">
        <v>145</v>
      </c>
      <c r="F1357" s="29">
        <v>34942</v>
      </c>
      <c r="G1357" s="56" t="str">
        <f t="shared" ca="1" si="197"/>
        <v>Sénior</v>
      </c>
      <c r="H1357" s="28">
        <f t="shared" ca="1" si="198"/>
        <v>25</v>
      </c>
      <c r="J1357" s="38" t="str">
        <f t="shared" si="192"/>
        <v>Micael Franco</v>
      </c>
      <c r="K1357" s="39">
        <f t="shared" si="193"/>
        <v>780</v>
      </c>
      <c r="L1357" s="39">
        <f t="shared" si="194"/>
        <v>127129</v>
      </c>
      <c r="M1357" s="40">
        <f t="shared" si="199"/>
        <v>34942</v>
      </c>
      <c r="N1357" s="41" t="str">
        <f t="shared" ca="1" si="200"/>
        <v>Sénior</v>
      </c>
      <c r="O1357" s="41" t="str">
        <f t="shared" si="195"/>
        <v>M</v>
      </c>
      <c r="P1357" s="60" t="str">
        <f t="shared" si="196"/>
        <v>GDE</v>
      </c>
      <c r="Q1357" s="61"/>
    </row>
    <row r="1358" spans="1:17" ht="13">
      <c r="A1358" s="28">
        <v>1785</v>
      </c>
      <c r="B1358" s="28">
        <v>154239</v>
      </c>
      <c r="C1358" s="129" t="s">
        <v>1608</v>
      </c>
      <c r="D1358" s="128" t="s">
        <v>125</v>
      </c>
      <c r="E1358" s="128" t="s">
        <v>146</v>
      </c>
      <c r="F1358" s="29">
        <v>38756</v>
      </c>
      <c r="G1358" s="56" t="str">
        <f t="shared" ca="1" si="197"/>
        <v>Iniciado</v>
      </c>
      <c r="H1358" s="28">
        <f t="shared" ca="1" si="198"/>
        <v>15</v>
      </c>
      <c r="J1358" s="38" t="str">
        <f t="shared" si="192"/>
        <v>Mariana Silva</v>
      </c>
      <c r="K1358" s="39">
        <f t="shared" si="193"/>
        <v>1785</v>
      </c>
      <c r="L1358" s="39">
        <f t="shared" si="194"/>
        <v>154239</v>
      </c>
      <c r="M1358" s="40">
        <f t="shared" si="199"/>
        <v>38756</v>
      </c>
      <c r="N1358" s="41" t="str">
        <f t="shared" ca="1" si="200"/>
        <v>Iniciado</v>
      </c>
      <c r="O1358" s="41" t="str">
        <f t="shared" si="195"/>
        <v>F</v>
      </c>
      <c r="P1358" s="60" t="str">
        <f t="shared" si="196"/>
        <v>GDE</v>
      </c>
      <c r="Q1358" s="61"/>
    </row>
    <row r="1359" spans="1:17" ht="13">
      <c r="A1359" s="28">
        <v>311</v>
      </c>
      <c r="B1359" s="28">
        <v>130220</v>
      </c>
      <c r="C1359" s="129" t="s">
        <v>1613</v>
      </c>
      <c r="D1359" s="128" t="s">
        <v>123</v>
      </c>
      <c r="E1359" s="128" t="s">
        <v>146</v>
      </c>
      <c r="F1359" s="29">
        <v>25744</v>
      </c>
      <c r="G1359" s="56" t="str">
        <f t="shared" ca="1" si="197"/>
        <v>V 50</v>
      </c>
      <c r="H1359" s="28">
        <f t="shared" ca="1" si="198"/>
        <v>50</v>
      </c>
      <c r="J1359" s="38" t="str">
        <f t="shared" si="192"/>
        <v>Jennifer Alves</v>
      </c>
      <c r="K1359" s="39">
        <f t="shared" si="193"/>
        <v>311</v>
      </c>
      <c r="L1359" s="39">
        <f t="shared" si="194"/>
        <v>130220</v>
      </c>
      <c r="M1359" s="40">
        <f t="shared" si="199"/>
        <v>25744</v>
      </c>
      <c r="N1359" s="41" t="str">
        <f t="shared" ca="1" si="200"/>
        <v>V 50</v>
      </c>
      <c r="O1359" s="41" t="str">
        <f t="shared" si="195"/>
        <v>F</v>
      </c>
      <c r="P1359" s="60" t="str">
        <f t="shared" si="196"/>
        <v>AJS</v>
      </c>
      <c r="Q1359" s="61"/>
    </row>
    <row r="1360" spans="1:17" ht="13">
      <c r="A1360" s="28">
        <v>779</v>
      </c>
      <c r="B1360" s="28">
        <v>129959</v>
      </c>
      <c r="C1360" s="129" t="s">
        <v>1616</v>
      </c>
      <c r="D1360" s="128" t="s">
        <v>123</v>
      </c>
      <c r="E1360" s="128" t="s">
        <v>145</v>
      </c>
      <c r="F1360" s="29">
        <v>28880</v>
      </c>
      <c r="G1360" s="56" t="str">
        <f t="shared" ca="1" si="197"/>
        <v>V 40</v>
      </c>
      <c r="H1360" s="28">
        <f t="shared" ca="1" si="198"/>
        <v>42</v>
      </c>
      <c r="J1360" s="38" t="str">
        <f t="shared" si="192"/>
        <v>Bruno Coelho</v>
      </c>
      <c r="K1360" s="39">
        <f t="shared" si="193"/>
        <v>779</v>
      </c>
      <c r="L1360" s="39">
        <f t="shared" si="194"/>
        <v>129959</v>
      </c>
      <c r="M1360" s="40">
        <f t="shared" si="199"/>
        <v>28880</v>
      </c>
      <c r="N1360" s="41" t="str">
        <f t="shared" ca="1" si="200"/>
        <v>V 40</v>
      </c>
      <c r="O1360" s="41" t="str">
        <f t="shared" si="195"/>
        <v>M</v>
      </c>
      <c r="P1360" s="60" t="str">
        <f t="shared" si="196"/>
        <v>AJS</v>
      </c>
      <c r="Q1360" s="61"/>
    </row>
    <row r="1361" spans="1:17" ht="13">
      <c r="A1361" s="28">
        <v>778</v>
      </c>
      <c r="B1361" s="28">
        <v>153732</v>
      </c>
      <c r="C1361" s="129" t="s">
        <v>1615</v>
      </c>
      <c r="D1361" s="128" t="s">
        <v>123</v>
      </c>
      <c r="E1361" s="128" t="s">
        <v>145</v>
      </c>
      <c r="F1361" s="29">
        <v>31328</v>
      </c>
      <c r="G1361" s="56" t="str">
        <f t="shared" ca="1" si="197"/>
        <v>V 35</v>
      </c>
      <c r="H1361" s="28">
        <f t="shared" ca="1" si="198"/>
        <v>35</v>
      </c>
      <c r="J1361" s="38" t="str">
        <f t="shared" si="192"/>
        <v>Basílio Noronha</v>
      </c>
      <c r="K1361" s="39">
        <f t="shared" si="193"/>
        <v>778</v>
      </c>
      <c r="L1361" s="39">
        <f t="shared" si="194"/>
        <v>153732</v>
      </c>
      <c r="M1361" s="40">
        <f t="shared" si="199"/>
        <v>31328</v>
      </c>
      <c r="N1361" s="41" t="str">
        <f t="shared" ca="1" si="200"/>
        <v>V 35</v>
      </c>
      <c r="O1361" s="41" t="str">
        <f t="shared" si="195"/>
        <v>M</v>
      </c>
      <c r="P1361" s="60" t="str">
        <f t="shared" si="196"/>
        <v>AJS</v>
      </c>
      <c r="Q1361" s="61"/>
    </row>
    <row r="1362" spans="1:17" ht="13">
      <c r="A1362" s="28">
        <v>777</v>
      </c>
      <c r="B1362" s="28">
        <v>125383</v>
      </c>
      <c r="C1362" s="129" t="s">
        <v>1617</v>
      </c>
      <c r="D1362" s="128" t="s">
        <v>123</v>
      </c>
      <c r="E1362" s="128" t="s">
        <v>145</v>
      </c>
      <c r="F1362" s="29">
        <v>27925</v>
      </c>
      <c r="G1362" s="56" t="str">
        <f t="shared" ca="1" si="197"/>
        <v>V 40</v>
      </c>
      <c r="H1362" s="28">
        <f t="shared" ca="1" si="198"/>
        <v>44</v>
      </c>
      <c r="J1362" s="38" t="str">
        <f t="shared" si="192"/>
        <v>Francisco Freitas</v>
      </c>
      <c r="K1362" s="39">
        <f t="shared" si="193"/>
        <v>777</v>
      </c>
      <c r="L1362" s="39">
        <f t="shared" si="194"/>
        <v>125383</v>
      </c>
      <c r="M1362" s="40">
        <f t="shared" si="199"/>
        <v>27925</v>
      </c>
      <c r="N1362" s="41" t="str">
        <f t="shared" ca="1" si="200"/>
        <v>V 40</v>
      </c>
      <c r="O1362" s="41" t="str">
        <f t="shared" si="195"/>
        <v>M</v>
      </c>
      <c r="P1362" s="60" t="str">
        <f t="shared" si="196"/>
        <v>AJS</v>
      </c>
      <c r="Q1362" s="61"/>
    </row>
    <row r="1363" spans="1:17" ht="13">
      <c r="A1363" s="28">
        <v>776</v>
      </c>
      <c r="B1363" s="28">
        <v>138469</v>
      </c>
      <c r="C1363" s="129" t="s">
        <v>1614</v>
      </c>
      <c r="D1363" s="128" t="s">
        <v>123</v>
      </c>
      <c r="E1363" s="128" t="s">
        <v>145</v>
      </c>
      <c r="F1363" s="29">
        <v>29946</v>
      </c>
      <c r="G1363" s="56" t="str">
        <f t="shared" ca="1" si="197"/>
        <v>V 35</v>
      </c>
      <c r="H1363" s="28">
        <f t="shared" ca="1" si="198"/>
        <v>39</v>
      </c>
      <c r="J1363" s="38" t="str">
        <f t="shared" si="192"/>
        <v>André Spínola</v>
      </c>
      <c r="K1363" s="39">
        <f t="shared" si="193"/>
        <v>776</v>
      </c>
      <c r="L1363" s="39">
        <f t="shared" si="194"/>
        <v>138469</v>
      </c>
      <c r="M1363" s="40">
        <f t="shared" si="199"/>
        <v>29946</v>
      </c>
      <c r="N1363" s="41" t="str">
        <f t="shared" ca="1" si="200"/>
        <v>V 35</v>
      </c>
      <c r="O1363" s="41" t="str">
        <f t="shared" si="195"/>
        <v>M</v>
      </c>
      <c r="P1363" s="60" t="str">
        <f t="shared" si="196"/>
        <v>AJS</v>
      </c>
      <c r="Q1363" s="61"/>
    </row>
    <row r="1364" spans="1:17" ht="13">
      <c r="A1364" s="28">
        <v>1786</v>
      </c>
      <c r="B1364" s="28">
        <v>163539</v>
      </c>
      <c r="C1364" s="129" t="s">
        <v>1611</v>
      </c>
      <c r="D1364" s="128" t="s">
        <v>124</v>
      </c>
      <c r="E1364" s="128" t="s">
        <v>146</v>
      </c>
      <c r="F1364" s="29">
        <v>39356</v>
      </c>
      <c r="G1364" s="56" t="str">
        <f t="shared" ca="1" si="197"/>
        <v>Iniciado</v>
      </c>
      <c r="H1364" s="28">
        <f t="shared" ca="1" si="198"/>
        <v>13</v>
      </c>
      <c r="J1364" s="38" t="str">
        <f t="shared" si="192"/>
        <v>Iara Tembe</v>
      </c>
      <c r="K1364" s="39">
        <f t="shared" si="193"/>
        <v>1786</v>
      </c>
      <c r="L1364" s="39">
        <f t="shared" si="194"/>
        <v>163539</v>
      </c>
      <c r="M1364" s="40">
        <f t="shared" si="199"/>
        <v>39356</v>
      </c>
      <c r="N1364" s="41" t="str">
        <f t="shared" ca="1" si="200"/>
        <v>Iniciado</v>
      </c>
      <c r="O1364" s="41" t="str">
        <f t="shared" si="195"/>
        <v>F</v>
      </c>
      <c r="P1364" s="60" t="str">
        <f t="shared" si="196"/>
        <v>CSM</v>
      </c>
      <c r="Q1364" s="61"/>
    </row>
    <row r="1365" spans="1:17" ht="13">
      <c r="A1365" s="28">
        <v>775</v>
      </c>
      <c r="B1365" s="28">
        <v>127900</v>
      </c>
      <c r="C1365" s="129" t="s">
        <v>1619</v>
      </c>
      <c r="D1365" s="128" t="s">
        <v>149</v>
      </c>
      <c r="E1365" s="128" t="s">
        <v>145</v>
      </c>
      <c r="F1365" s="29">
        <v>22674</v>
      </c>
      <c r="G1365" s="56" t="str">
        <f t="shared" ca="1" si="197"/>
        <v>V 55</v>
      </c>
      <c r="H1365" s="28">
        <f t="shared" ca="1" si="198"/>
        <v>59</v>
      </c>
      <c r="J1365" s="38" t="str">
        <f t="shared" si="192"/>
        <v>Gerardo Silva</v>
      </c>
      <c r="K1365" s="39">
        <f t="shared" si="193"/>
        <v>775</v>
      </c>
      <c r="L1365" s="39">
        <f t="shared" si="194"/>
        <v>127900</v>
      </c>
      <c r="M1365" s="40">
        <f t="shared" si="199"/>
        <v>22674</v>
      </c>
      <c r="N1365" s="41" t="str">
        <f t="shared" ca="1" si="200"/>
        <v>V 55</v>
      </c>
      <c r="O1365" s="41" t="str">
        <f t="shared" si="195"/>
        <v>M</v>
      </c>
      <c r="P1365" s="60" t="str">
        <f t="shared" si="196"/>
        <v>MSC.L</v>
      </c>
      <c r="Q1365" s="61"/>
    </row>
    <row r="1366" spans="1:17" ht="13">
      <c r="A1366" s="28">
        <v>312</v>
      </c>
      <c r="B1366" s="28">
        <v>127712</v>
      </c>
      <c r="C1366" s="129" t="s">
        <v>1618</v>
      </c>
      <c r="D1366" s="128" t="s">
        <v>149</v>
      </c>
      <c r="E1366" s="128" t="s">
        <v>146</v>
      </c>
      <c r="F1366" s="29">
        <v>25217</v>
      </c>
      <c r="G1366" s="56" t="str">
        <f t="shared" ca="1" si="197"/>
        <v>V 50</v>
      </c>
      <c r="H1366" s="28">
        <f t="shared" ca="1" si="198"/>
        <v>52</v>
      </c>
      <c r="J1366" s="38" t="str">
        <f t="shared" si="192"/>
        <v>Luz Soares</v>
      </c>
      <c r="K1366" s="39">
        <f t="shared" si="193"/>
        <v>312</v>
      </c>
      <c r="L1366" s="39">
        <f t="shared" si="194"/>
        <v>127712</v>
      </c>
      <c r="M1366" s="40">
        <f t="shared" si="199"/>
        <v>25217</v>
      </c>
      <c r="N1366" s="41" t="str">
        <f t="shared" ca="1" si="200"/>
        <v>V 50</v>
      </c>
      <c r="O1366" s="41" t="str">
        <f t="shared" si="195"/>
        <v>F</v>
      </c>
      <c r="P1366" s="60" t="str">
        <f t="shared" si="196"/>
        <v>MSC.L</v>
      </c>
      <c r="Q1366" s="61"/>
    </row>
    <row r="1367" spans="1:17" ht="13">
      <c r="A1367" s="28">
        <v>774</v>
      </c>
      <c r="B1367" s="28">
        <v>151538</v>
      </c>
      <c r="C1367" s="129" t="s">
        <v>1620</v>
      </c>
      <c r="D1367" s="128" t="s">
        <v>149</v>
      </c>
      <c r="E1367" s="128" t="s">
        <v>145</v>
      </c>
      <c r="F1367" s="29">
        <v>24284</v>
      </c>
      <c r="G1367" s="56" t="str">
        <f t="shared" ca="1" si="197"/>
        <v>V 50</v>
      </c>
      <c r="H1367" s="28">
        <f t="shared" ca="1" si="198"/>
        <v>54</v>
      </c>
      <c r="J1367" s="38" t="str">
        <f t="shared" si="192"/>
        <v>Paulo Martins</v>
      </c>
      <c r="K1367" s="39">
        <f t="shared" si="193"/>
        <v>774</v>
      </c>
      <c r="L1367" s="39">
        <f t="shared" si="194"/>
        <v>151538</v>
      </c>
      <c r="M1367" s="40">
        <f t="shared" si="199"/>
        <v>24284</v>
      </c>
      <c r="N1367" s="41" t="str">
        <f t="shared" ca="1" si="200"/>
        <v>V 50</v>
      </c>
      <c r="O1367" s="41" t="str">
        <f t="shared" si="195"/>
        <v>M</v>
      </c>
      <c r="P1367" s="60" t="str">
        <f t="shared" si="196"/>
        <v>MSC.L</v>
      </c>
      <c r="Q1367" s="61"/>
    </row>
    <row r="1368" spans="1:17" ht="13">
      <c r="A1368" s="28">
        <v>773</v>
      </c>
      <c r="B1368" s="28">
        <v>149619</v>
      </c>
      <c r="C1368" s="129" t="s">
        <v>1621</v>
      </c>
      <c r="D1368" s="128" t="s">
        <v>149</v>
      </c>
      <c r="E1368" s="128" t="s">
        <v>145</v>
      </c>
      <c r="F1368" s="29">
        <v>24997</v>
      </c>
      <c r="G1368" s="56" t="str">
        <f t="shared" ca="1" si="197"/>
        <v>V 50</v>
      </c>
      <c r="H1368" s="28">
        <f t="shared" ca="1" si="198"/>
        <v>52</v>
      </c>
      <c r="J1368" s="38" t="str">
        <f t="shared" si="192"/>
        <v>João Sousa</v>
      </c>
      <c r="K1368" s="39">
        <f t="shared" si="193"/>
        <v>773</v>
      </c>
      <c r="L1368" s="39">
        <f t="shared" si="194"/>
        <v>149619</v>
      </c>
      <c r="M1368" s="40">
        <f t="shared" si="199"/>
        <v>24997</v>
      </c>
      <c r="N1368" s="41" t="str">
        <f t="shared" ca="1" si="200"/>
        <v>V 50</v>
      </c>
      <c r="O1368" s="41" t="str">
        <f t="shared" si="195"/>
        <v>M</v>
      </c>
      <c r="P1368" s="60" t="str">
        <f t="shared" si="196"/>
        <v>MSC.L</v>
      </c>
      <c r="Q1368" s="61"/>
    </row>
    <row r="1369" spans="1:17" ht="13">
      <c r="A1369" s="28">
        <v>772</v>
      </c>
      <c r="B1369" s="28">
        <v>127005</v>
      </c>
      <c r="C1369" s="129" t="s">
        <v>1622</v>
      </c>
      <c r="D1369" s="128" t="s">
        <v>149</v>
      </c>
      <c r="E1369" s="128" t="s">
        <v>145</v>
      </c>
      <c r="F1369" s="29">
        <v>22988</v>
      </c>
      <c r="G1369" s="56" t="str">
        <f t="shared" ca="1" si="197"/>
        <v>V 55</v>
      </c>
      <c r="H1369" s="28">
        <f t="shared" ca="1" si="198"/>
        <v>58</v>
      </c>
      <c r="J1369" s="38" t="str">
        <f t="shared" si="192"/>
        <v>João G. Costa</v>
      </c>
      <c r="K1369" s="39">
        <f t="shared" si="193"/>
        <v>772</v>
      </c>
      <c r="L1369" s="39">
        <f t="shared" si="194"/>
        <v>127005</v>
      </c>
      <c r="M1369" s="40">
        <f t="shared" si="199"/>
        <v>22988</v>
      </c>
      <c r="N1369" s="41" t="str">
        <f t="shared" ca="1" si="200"/>
        <v>V 55</v>
      </c>
      <c r="O1369" s="41" t="str">
        <f t="shared" si="195"/>
        <v>M</v>
      </c>
      <c r="P1369" s="60" t="str">
        <f t="shared" si="196"/>
        <v>MSC.L</v>
      </c>
      <c r="Q1369" s="61"/>
    </row>
    <row r="1370" spans="1:17" ht="13">
      <c r="A1370" s="28">
        <v>771</v>
      </c>
      <c r="B1370" s="28">
        <v>127879</v>
      </c>
      <c r="C1370" s="129" t="s">
        <v>1623</v>
      </c>
      <c r="D1370" s="128" t="s">
        <v>149</v>
      </c>
      <c r="E1370" s="128" t="s">
        <v>145</v>
      </c>
      <c r="F1370" s="29">
        <v>23345</v>
      </c>
      <c r="G1370" s="56" t="str">
        <f t="shared" ca="1" si="197"/>
        <v>V 55</v>
      </c>
      <c r="H1370" s="28">
        <f t="shared" ca="1" si="198"/>
        <v>57</v>
      </c>
      <c r="J1370" s="38" t="str">
        <f t="shared" si="192"/>
        <v>André Macieira</v>
      </c>
      <c r="K1370" s="39">
        <f t="shared" si="193"/>
        <v>771</v>
      </c>
      <c r="L1370" s="39">
        <f t="shared" si="194"/>
        <v>127879</v>
      </c>
      <c r="M1370" s="40">
        <f t="shared" si="199"/>
        <v>23345</v>
      </c>
      <c r="N1370" s="41" t="str">
        <f t="shared" ca="1" si="200"/>
        <v>V 55</v>
      </c>
      <c r="O1370" s="41" t="str">
        <f t="shared" si="195"/>
        <v>M</v>
      </c>
      <c r="P1370" s="60" t="str">
        <f t="shared" si="196"/>
        <v>MSC.L</v>
      </c>
      <c r="Q1370" s="61"/>
    </row>
    <row r="1371" spans="1:17" ht="13">
      <c r="A1371" s="28">
        <v>770</v>
      </c>
      <c r="B1371" s="28">
        <v>127890</v>
      </c>
      <c r="C1371" s="129" t="s">
        <v>1624</v>
      </c>
      <c r="D1371" s="128" t="s">
        <v>149</v>
      </c>
      <c r="E1371" s="128" t="s">
        <v>145</v>
      </c>
      <c r="F1371" s="29">
        <v>20607</v>
      </c>
      <c r="G1371" s="56" t="str">
        <f t="shared" ca="1" si="197"/>
        <v>V 60</v>
      </c>
      <c r="H1371" s="28">
        <f t="shared" ca="1" si="198"/>
        <v>64</v>
      </c>
      <c r="J1371" s="38" t="str">
        <f t="shared" si="192"/>
        <v>Jacinto Santos</v>
      </c>
      <c r="K1371" s="39">
        <f t="shared" si="193"/>
        <v>770</v>
      </c>
      <c r="L1371" s="39">
        <f t="shared" si="194"/>
        <v>127890</v>
      </c>
      <c r="M1371" s="40">
        <f t="shared" si="199"/>
        <v>20607</v>
      </c>
      <c r="N1371" s="41" t="str">
        <f t="shared" ca="1" si="200"/>
        <v>V 60</v>
      </c>
      <c r="O1371" s="41" t="str">
        <f t="shared" si="195"/>
        <v>M</v>
      </c>
      <c r="P1371" s="60" t="str">
        <f t="shared" si="196"/>
        <v>MSC.L</v>
      </c>
      <c r="Q1371" s="61"/>
    </row>
    <row r="1372" spans="1:17" ht="13">
      <c r="A1372" s="28">
        <v>769</v>
      </c>
      <c r="B1372" s="28">
        <v>150723</v>
      </c>
      <c r="C1372" s="129" t="s">
        <v>1625</v>
      </c>
      <c r="D1372" s="128" t="s">
        <v>149</v>
      </c>
      <c r="E1372" s="128" t="s">
        <v>145</v>
      </c>
      <c r="F1372" s="29">
        <v>32134</v>
      </c>
      <c r="G1372" s="56" t="str">
        <f t="shared" ca="1" si="197"/>
        <v>Sénior</v>
      </c>
      <c r="H1372" s="28">
        <f t="shared" ca="1" si="198"/>
        <v>33</v>
      </c>
      <c r="J1372" s="38" t="str">
        <f t="shared" si="192"/>
        <v>Carlos J. Castro</v>
      </c>
      <c r="K1372" s="39">
        <f t="shared" si="193"/>
        <v>769</v>
      </c>
      <c r="L1372" s="39">
        <f t="shared" si="194"/>
        <v>150723</v>
      </c>
      <c r="M1372" s="40">
        <f t="shared" si="199"/>
        <v>32134</v>
      </c>
      <c r="N1372" s="41" t="str">
        <f t="shared" ca="1" si="200"/>
        <v>Sénior</v>
      </c>
      <c r="O1372" s="41" t="str">
        <f t="shared" si="195"/>
        <v>M</v>
      </c>
      <c r="P1372" s="60" t="str">
        <f t="shared" si="196"/>
        <v>MSC.L</v>
      </c>
      <c r="Q1372" s="61"/>
    </row>
    <row r="1373" spans="1:17" ht="13">
      <c r="A1373" s="28">
        <v>768</v>
      </c>
      <c r="B1373" s="28">
        <v>127193</v>
      </c>
      <c r="C1373" s="129" t="s">
        <v>1626</v>
      </c>
      <c r="D1373" s="128" t="s">
        <v>149</v>
      </c>
      <c r="E1373" s="128" t="s">
        <v>145</v>
      </c>
      <c r="F1373" s="29">
        <v>30175</v>
      </c>
      <c r="G1373" s="56" t="str">
        <f t="shared" ca="1" si="197"/>
        <v>V 35</v>
      </c>
      <c r="H1373" s="28">
        <f t="shared" ca="1" si="198"/>
        <v>38</v>
      </c>
      <c r="J1373" s="38" t="str">
        <f t="shared" si="192"/>
        <v>Rúben F. Sousa</v>
      </c>
      <c r="K1373" s="39">
        <f t="shared" si="193"/>
        <v>768</v>
      </c>
      <c r="L1373" s="39">
        <f t="shared" si="194"/>
        <v>127193</v>
      </c>
      <c r="M1373" s="40">
        <f t="shared" si="199"/>
        <v>30175</v>
      </c>
      <c r="N1373" s="41" t="str">
        <f t="shared" ca="1" si="200"/>
        <v>V 35</v>
      </c>
      <c r="O1373" s="41" t="str">
        <f t="shared" si="195"/>
        <v>M</v>
      </c>
      <c r="P1373" s="60" t="str">
        <f t="shared" si="196"/>
        <v>MSC.L</v>
      </c>
      <c r="Q1373" s="61"/>
    </row>
    <row r="1374" spans="1:17" ht="13">
      <c r="A1374" s="28">
        <v>2213</v>
      </c>
      <c r="B1374" s="28">
        <v>163630</v>
      </c>
      <c r="C1374" s="129" t="s">
        <v>1644</v>
      </c>
      <c r="D1374" s="128" t="s">
        <v>1646</v>
      </c>
      <c r="E1374" s="128" t="s">
        <v>145</v>
      </c>
      <c r="F1374" s="29">
        <v>41418</v>
      </c>
      <c r="G1374" s="56" t="str">
        <f t="shared" ca="1" si="197"/>
        <v>Benjamim A</v>
      </c>
      <c r="H1374" s="28">
        <f t="shared" ca="1" si="198"/>
        <v>7</v>
      </c>
      <c r="J1374" s="38" t="str">
        <f t="shared" si="192"/>
        <v>Vítor Nunes</v>
      </c>
      <c r="K1374" s="39">
        <f t="shared" si="193"/>
        <v>2213</v>
      </c>
      <c r="L1374" s="39">
        <f t="shared" si="194"/>
        <v>163630</v>
      </c>
      <c r="M1374" s="40">
        <f t="shared" si="199"/>
        <v>41418</v>
      </c>
      <c r="N1374" s="41" t="str">
        <f t="shared" ca="1" si="200"/>
        <v>Benjamim A</v>
      </c>
      <c r="O1374" s="41" t="str">
        <f t="shared" si="195"/>
        <v>M</v>
      </c>
      <c r="P1374" s="60" t="str">
        <f t="shared" si="196"/>
        <v>AAM-M</v>
      </c>
      <c r="Q1374" s="61"/>
    </row>
    <row r="1375" spans="1:17" ht="13">
      <c r="A1375" s="28">
        <v>1917</v>
      </c>
      <c r="B1375" s="28">
        <v>163565</v>
      </c>
      <c r="C1375" s="129" t="s">
        <v>1639</v>
      </c>
      <c r="D1375" s="128" t="s">
        <v>1646</v>
      </c>
      <c r="E1375" s="128" t="s">
        <v>146</v>
      </c>
      <c r="F1375" s="29">
        <v>40130</v>
      </c>
      <c r="G1375" s="56" t="str">
        <f t="shared" ca="1" si="197"/>
        <v>Infantil</v>
      </c>
      <c r="H1375" s="28">
        <f t="shared" ca="1" si="198"/>
        <v>11</v>
      </c>
      <c r="J1375" s="38" t="str">
        <f t="shared" si="192"/>
        <v>Luana Clemente</v>
      </c>
      <c r="K1375" s="39">
        <f t="shared" si="193"/>
        <v>1917</v>
      </c>
      <c r="L1375" s="39">
        <f t="shared" si="194"/>
        <v>163565</v>
      </c>
      <c r="M1375" s="40">
        <f t="shared" si="199"/>
        <v>40130</v>
      </c>
      <c r="N1375" s="41" t="str">
        <f t="shared" ca="1" si="200"/>
        <v>Infantil</v>
      </c>
      <c r="O1375" s="41" t="str">
        <f t="shared" si="195"/>
        <v>F</v>
      </c>
      <c r="P1375" s="60" t="str">
        <f t="shared" si="196"/>
        <v>AAM-M</v>
      </c>
      <c r="Q1375" s="61"/>
    </row>
    <row r="1376" spans="1:17" ht="13">
      <c r="A1376" s="28">
        <v>2099</v>
      </c>
      <c r="B1376" s="28">
        <v>165368</v>
      </c>
      <c r="C1376" s="129" t="s">
        <v>1640</v>
      </c>
      <c r="D1376" s="128" t="s">
        <v>1646</v>
      </c>
      <c r="E1376" s="128" t="s">
        <v>146</v>
      </c>
      <c r="F1376" s="29">
        <v>40868</v>
      </c>
      <c r="G1376" s="56" t="str">
        <f t="shared" ca="1" si="197"/>
        <v>Benjamim B</v>
      </c>
      <c r="H1376" s="28">
        <f t="shared" ca="1" si="198"/>
        <v>9</v>
      </c>
      <c r="J1376" s="38" t="str">
        <f t="shared" si="192"/>
        <v>Leonor Jesus</v>
      </c>
      <c r="K1376" s="39">
        <f t="shared" si="193"/>
        <v>2099</v>
      </c>
      <c r="L1376" s="39">
        <f t="shared" si="194"/>
        <v>165368</v>
      </c>
      <c r="M1376" s="40">
        <f t="shared" si="199"/>
        <v>40868</v>
      </c>
      <c r="N1376" s="41" t="str">
        <f t="shared" ca="1" si="200"/>
        <v>Benjamim B</v>
      </c>
      <c r="O1376" s="41" t="str">
        <f t="shared" si="195"/>
        <v>F</v>
      </c>
      <c r="P1376" s="60" t="str">
        <f t="shared" si="196"/>
        <v>AAM-M</v>
      </c>
      <c r="Q1376" s="61"/>
    </row>
    <row r="1377" spans="1:17" ht="13">
      <c r="A1377" s="28">
        <v>2212</v>
      </c>
      <c r="B1377" s="28">
        <v>165275</v>
      </c>
      <c r="C1377" s="129" t="s">
        <v>1645</v>
      </c>
      <c r="D1377" s="128" t="s">
        <v>1646</v>
      </c>
      <c r="E1377" s="128" t="s">
        <v>145</v>
      </c>
      <c r="F1377" s="29">
        <v>41058</v>
      </c>
      <c r="G1377" s="56" t="str">
        <f t="shared" ca="1" si="197"/>
        <v>Benjamim A</v>
      </c>
      <c r="H1377" s="28">
        <f t="shared" ca="1" si="198"/>
        <v>8</v>
      </c>
      <c r="J1377" s="38" t="str">
        <f t="shared" si="192"/>
        <v>Bernardo R. Freitas</v>
      </c>
      <c r="K1377" s="39">
        <f t="shared" si="193"/>
        <v>2212</v>
      </c>
      <c r="L1377" s="39">
        <f t="shared" si="194"/>
        <v>165275</v>
      </c>
      <c r="M1377" s="40">
        <f t="shared" si="199"/>
        <v>41058</v>
      </c>
      <c r="N1377" s="41" t="str">
        <f t="shared" ca="1" si="200"/>
        <v>Benjamim A</v>
      </c>
      <c r="O1377" s="41" t="str">
        <f t="shared" si="195"/>
        <v>M</v>
      </c>
      <c r="P1377" s="60" t="str">
        <f t="shared" si="196"/>
        <v>AAM-M</v>
      </c>
      <c r="Q1377" s="61"/>
    </row>
    <row r="1378" spans="1:17" ht="13">
      <c r="A1378" s="28">
        <v>767</v>
      </c>
      <c r="B1378" s="28">
        <v>133244</v>
      </c>
      <c r="C1378" s="129" t="s">
        <v>1609</v>
      </c>
      <c r="D1378" s="128" t="s">
        <v>125</v>
      </c>
      <c r="E1378" s="128" t="s">
        <v>145</v>
      </c>
      <c r="F1378" s="29">
        <v>36398</v>
      </c>
      <c r="G1378" s="56" t="str">
        <f t="shared" ca="1" si="197"/>
        <v>sub 23</v>
      </c>
      <c r="H1378" s="28">
        <f t="shared" ca="1" si="198"/>
        <v>21</v>
      </c>
      <c r="J1378" s="38" t="str">
        <f t="shared" si="192"/>
        <v>José Teixeira</v>
      </c>
      <c r="K1378" s="39">
        <f t="shared" si="193"/>
        <v>767</v>
      </c>
      <c r="L1378" s="39">
        <f t="shared" si="194"/>
        <v>133244</v>
      </c>
      <c r="M1378" s="40">
        <f t="shared" si="199"/>
        <v>36398</v>
      </c>
      <c r="N1378" s="41" t="str">
        <f t="shared" ca="1" si="200"/>
        <v>sub 23</v>
      </c>
      <c r="O1378" s="41" t="str">
        <f t="shared" si="195"/>
        <v>M</v>
      </c>
      <c r="P1378" s="60" t="str">
        <f t="shared" si="196"/>
        <v>GDE</v>
      </c>
      <c r="Q1378" s="61"/>
    </row>
    <row r="1379" spans="1:17" ht="13">
      <c r="A1379" s="28">
        <v>2100</v>
      </c>
      <c r="B1379" s="28">
        <v>155858</v>
      </c>
      <c r="C1379" s="129" t="s">
        <v>1612</v>
      </c>
      <c r="D1379" s="128" t="s">
        <v>123</v>
      </c>
      <c r="E1379" s="128" t="s">
        <v>146</v>
      </c>
      <c r="F1379" s="29">
        <v>40249</v>
      </c>
      <c r="G1379" s="56" t="str">
        <f t="shared" ca="1" si="197"/>
        <v>Benjamim B</v>
      </c>
      <c r="H1379" s="28">
        <f t="shared" ca="1" si="198"/>
        <v>11</v>
      </c>
      <c r="J1379" s="38" t="str">
        <f t="shared" si="192"/>
        <v>Eduarda Silva</v>
      </c>
      <c r="K1379" s="39">
        <f t="shared" si="193"/>
        <v>2100</v>
      </c>
      <c r="L1379" s="39">
        <f t="shared" si="194"/>
        <v>155858</v>
      </c>
      <c r="M1379" s="40">
        <f t="shared" si="199"/>
        <v>40249</v>
      </c>
      <c r="N1379" s="41" t="str">
        <f t="shared" ca="1" si="200"/>
        <v>Benjamim B</v>
      </c>
      <c r="O1379" s="41" t="str">
        <f t="shared" si="195"/>
        <v>F</v>
      </c>
      <c r="P1379" s="60" t="str">
        <f t="shared" si="196"/>
        <v>AJS</v>
      </c>
      <c r="Q1379" s="61"/>
    </row>
    <row r="1380" spans="1:17" ht="13">
      <c r="A1380" s="28">
        <v>0</v>
      </c>
      <c r="B1380" s="28" t="s">
        <v>1053</v>
      </c>
      <c r="C1380" s="129" t="s">
        <v>1050</v>
      </c>
      <c r="D1380" s="128">
        <v>0</v>
      </c>
      <c r="E1380" s="128" t="s">
        <v>1050</v>
      </c>
      <c r="F1380" s="29" t="s">
        <v>1050</v>
      </c>
      <c r="G1380" s="56" t="str">
        <f t="shared" ca="1" si="197"/>
        <v/>
      </c>
      <c r="H1380" s="28" t="str">
        <f t="shared" ca="1" si="198"/>
        <v/>
      </c>
      <c r="J1380" s="38" t="str">
        <f t="shared" si="192"/>
        <v xml:space="preserve"> </v>
      </c>
      <c r="K1380" s="39">
        <f t="shared" si="193"/>
        <v>0</v>
      </c>
      <c r="L1380" s="39" t="str">
        <f t="shared" si="194"/>
        <v/>
      </c>
      <c r="M1380" s="40" t="str">
        <f t="shared" si="199"/>
        <v xml:space="preserve"> </v>
      </c>
      <c r="N1380" s="41" t="str">
        <f t="shared" ca="1" si="200"/>
        <v/>
      </c>
      <c r="O1380" s="41" t="str">
        <f t="shared" si="195"/>
        <v xml:space="preserve"> </v>
      </c>
      <c r="P1380" s="60">
        <f t="shared" si="196"/>
        <v>0</v>
      </c>
      <c r="Q1380" s="61"/>
    </row>
    <row r="1381" spans="1:17" ht="13">
      <c r="A1381" s="28">
        <v>0</v>
      </c>
      <c r="B1381" s="28" t="s">
        <v>1053</v>
      </c>
      <c r="C1381" s="129" t="s">
        <v>1050</v>
      </c>
      <c r="D1381" s="128">
        <v>0</v>
      </c>
      <c r="E1381" s="128" t="s">
        <v>1050</v>
      </c>
      <c r="F1381" s="29" t="s">
        <v>1050</v>
      </c>
      <c r="G1381" s="56" t="str">
        <f t="shared" ca="1" si="197"/>
        <v/>
      </c>
      <c r="H1381" s="28" t="str">
        <f t="shared" ca="1" si="198"/>
        <v/>
      </c>
      <c r="J1381" s="38" t="str">
        <f t="shared" si="192"/>
        <v xml:space="preserve"> </v>
      </c>
      <c r="K1381" s="39">
        <f t="shared" si="193"/>
        <v>0</v>
      </c>
      <c r="L1381" s="39" t="str">
        <f t="shared" si="194"/>
        <v/>
      </c>
      <c r="M1381" s="40" t="str">
        <f t="shared" si="199"/>
        <v xml:space="preserve"> </v>
      </c>
      <c r="N1381" s="41" t="str">
        <f t="shared" ca="1" si="200"/>
        <v/>
      </c>
      <c r="O1381" s="41" t="str">
        <f t="shared" si="195"/>
        <v xml:space="preserve"> </v>
      </c>
      <c r="P1381" s="60">
        <f t="shared" si="196"/>
        <v>0</v>
      </c>
      <c r="Q1381" s="61"/>
    </row>
    <row r="1382" spans="1:17" ht="13">
      <c r="A1382" s="28">
        <v>0</v>
      </c>
      <c r="B1382" s="28" t="s">
        <v>1053</v>
      </c>
      <c r="C1382" s="129" t="s">
        <v>1050</v>
      </c>
      <c r="D1382" s="128">
        <v>0</v>
      </c>
      <c r="E1382" s="128" t="s">
        <v>1050</v>
      </c>
      <c r="F1382" s="29" t="s">
        <v>1050</v>
      </c>
      <c r="G1382" s="56" t="str">
        <f t="shared" ca="1" si="197"/>
        <v/>
      </c>
      <c r="H1382" s="28" t="str">
        <f t="shared" ca="1" si="198"/>
        <v/>
      </c>
      <c r="J1382" s="38" t="str">
        <f t="shared" si="192"/>
        <v xml:space="preserve"> </v>
      </c>
      <c r="K1382" s="39">
        <f t="shared" si="193"/>
        <v>0</v>
      </c>
      <c r="L1382" s="39" t="str">
        <f t="shared" si="194"/>
        <v/>
      </c>
      <c r="M1382" s="40" t="str">
        <f t="shared" si="199"/>
        <v xml:space="preserve"> </v>
      </c>
      <c r="N1382" s="41" t="str">
        <f t="shared" ca="1" si="200"/>
        <v/>
      </c>
      <c r="O1382" s="41" t="str">
        <f t="shared" si="195"/>
        <v xml:space="preserve"> </v>
      </c>
      <c r="P1382" s="60">
        <f t="shared" si="196"/>
        <v>0</v>
      </c>
      <c r="Q1382" s="61"/>
    </row>
    <row r="1383" spans="1:17" ht="13">
      <c r="A1383" s="28">
        <v>0</v>
      </c>
      <c r="B1383" s="28" t="s">
        <v>1053</v>
      </c>
      <c r="C1383" s="129" t="s">
        <v>1050</v>
      </c>
      <c r="D1383" s="128">
        <v>0</v>
      </c>
      <c r="E1383" s="128" t="s">
        <v>1050</v>
      </c>
      <c r="F1383" s="29" t="s">
        <v>1050</v>
      </c>
      <c r="G1383" s="56" t="str">
        <f t="shared" ca="1" si="197"/>
        <v/>
      </c>
      <c r="H1383" s="28" t="str">
        <f t="shared" ca="1" si="198"/>
        <v/>
      </c>
      <c r="J1383" s="38" t="str">
        <f t="shared" si="192"/>
        <v xml:space="preserve"> </v>
      </c>
      <c r="K1383" s="39">
        <f t="shared" si="193"/>
        <v>0</v>
      </c>
      <c r="L1383" s="39" t="str">
        <f t="shared" si="194"/>
        <v/>
      </c>
      <c r="M1383" s="40" t="str">
        <f t="shared" si="199"/>
        <v xml:space="preserve"> </v>
      </c>
      <c r="N1383" s="41" t="str">
        <f t="shared" ca="1" si="200"/>
        <v/>
      </c>
      <c r="O1383" s="41" t="str">
        <f t="shared" si="195"/>
        <v xml:space="preserve"> </v>
      </c>
      <c r="P1383" s="60">
        <f t="shared" si="196"/>
        <v>0</v>
      </c>
      <c r="Q1383" s="61"/>
    </row>
    <row r="1384" spans="1:17" ht="13">
      <c r="A1384" s="28">
        <v>0</v>
      </c>
      <c r="B1384" s="28" t="s">
        <v>1053</v>
      </c>
      <c r="C1384" s="129" t="s">
        <v>1050</v>
      </c>
      <c r="D1384" s="128">
        <v>0</v>
      </c>
      <c r="E1384" s="128" t="s">
        <v>1050</v>
      </c>
      <c r="F1384" s="29" t="s">
        <v>1050</v>
      </c>
      <c r="G1384" s="56" t="str">
        <f t="shared" ca="1" si="197"/>
        <v/>
      </c>
      <c r="H1384" s="28" t="str">
        <f t="shared" ca="1" si="198"/>
        <v/>
      </c>
      <c r="J1384" s="38" t="str">
        <f t="shared" si="192"/>
        <v xml:space="preserve"> </v>
      </c>
      <c r="K1384" s="39">
        <f t="shared" si="193"/>
        <v>0</v>
      </c>
      <c r="L1384" s="39" t="str">
        <f t="shared" si="194"/>
        <v/>
      </c>
      <c r="M1384" s="40" t="str">
        <f t="shared" si="199"/>
        <v xml:space="preserve"> </v>
      </c>
      <c r="N1384" s="41" t="str">
        <f t="shared" ca="1" si="200"/>
        <v/>
      </c>
      <c r="O1384" s="41" t="str">
        <f t="shared" si="195"/>
        <v xml:space="preserve"> </v>
      </c>
      <c r="P1384" s="60">
        <f t="shared" si="196"/>
        <v>0</v>
      </c>
      <c r="Q1384" s="61"/>
    </row>
    <row r="1385" spans="1:17" ht="13">
      <c r="A1385" s="28">
        <v>0</v>
      </c>
      <c r="B1385" s="28" t="s">
        <v>1053</v>
      </c>
      <c r="C1385" s="129" t="s">
        <v>1050</v>
      </c>
      <c r="D1385" s="128">
        <v>0</v>
      </c>
      <c r="E1385" s="128" t="s">
        <v>1050</v>
      </c>
      <c r="F1385" s="29" t="s">
        <v>1050</v>
      </c>
      <c r="G1385" s="56" t="str">
        <f t="shared" ca="1" si="197"/>
        <v/>
      </c>
      <c r="H1385" s="28" t="str">
        <f t="shared" ca="1" si="198"/>
        <v/>
      </c>
      <c r="J1385" s="38" t="str">
        <f t="shared" si="192"/>
        <v xml:space="preserve"> </v>
      </c>
      <c r="K1385" s="39">
        <f t="shared" si="193"/>
        <v>0</v>
      </c>
      <c r="L1385" s="39" t="str">
        <f t="shared" si="194"/>
        <v/>
      </c>
      <c r="M1385" s="40" t="str">
        <f t="shared" si="199"/>
        <v xml:space="preserve"> </v>
      </c>
      <c r="N1385" s="41" t="str">
        <f t="shared" ca="1" si="200"/>
        <v/>
      </c>
      <c r="O1385" s="41" t="str">
        <f t="shared" si="195"/>
        <v xml:space="preserve"> </v>
      </c>
      <c r="P1385" s="60">
        <f t="shared" si="196"/>
        <v>0</v>
      </c>
      <c r="Q1385" s="61"/>
    </row>
    <row r="1386" spans="1:17" ht="13">
      <c r="A1386" s="28">
        <v>0</v>
      </c>
      <c r="B1386" s="28" t="s">
        <v>1053</v>
      </c>
      <c r="C1386" s="129" t="s">
        <v>1050</v>
      </c>
      <c r="D1386" s="128">
        <v>0</v>
      </c>
      <c r="E1386" s="128" t="s">
        <v>1050</v>
      </c>
      <c r="F1386" s="29" t="s">
        <v>1050</v>
      </c>
      <c r="G1386" s="56" t="str">
        <f t="shared" ca="1" si="197"/>
        <v/>
      </c>
      <c r="H1386" s="28" t="str">
        <f t="shared" ca="1" si="198"/>
        <v/>
      </c>
      <c r="J1386" s="38" t="str">
        <f t="shared" si="192"/>
        <v xml:space="preserve"> </v>
      </c>
      <c r="K1386" s="39">
        <f t="shared" si="193"/>
        <v>0</v>
      </c>
      <c r="L1386" s="39" t="str">
        <f t="shared" si="194"/>
        <v/>
      </c>
      <c r="M1386" s="40" t="str">
        <f t="shared" si="199"/>
        <v xml:space="preserve"> </v>
      </c>
      <c r="N1386" s="41" t="str">
        <f t="shared" ca="1" si="200"/>
        <v/>
      </c>
      <c r="O1386" s="41" t="str">
        <f t="shared" si="195"/>
        <v xml:space="preserve"> </v>
      </c>
      <c r="P1386" s="60">
        <f t="shared" si="196"/>
        <v>0</v>
      </c>
      <c r="Q1386" s="61"/>
    </row>
    <row r="1387" spans="1:17" ht="13">
      <c r="A1387" s="28">
        <v>0</v>
      </c>
      <c r="B1387" s="28" t="s">
        <v>1053</v>
      </c>
      <c r="C1387" s="129" t="s">
        <v>1050</v>
      </c>
      <c r="D1387" s="128">
        <v>0</v>
      </c>
      <c r="E1387" s="128" t="s">
        <v>1050</v>
      </c>
      <c r="F1387" s="29" t="s">
        <v>1050</v>
      </c>
      <c r="G1387" s="56" t="str">
        <f t="shared" ca="1" si="197"/>
        <v/>
      </c>
      <c r="H1387" s="28" t="str">
        <f t="shared" ca="1" si="198"/>
        <v/>
      </c>
      <c r="J1387" s="38" t="str">
        <f t="shared" si="192"/>
        <v xml:space="preserve"> </v>
      </c>
      <c r="K1387" s="39">
        <f t="shared" si="193"/>
        <v>0</v>
      </c>
      <c r="L1387" s="39" t="str">
        <f t="shared" si="194"/>
        <v/>
      </c>
      <c r="M1387" s="40" t="str">
        <f t="shared" si="199"/>
        <v xml:space="preserve"> </v>
      </c>
      <c r="N1387" s="41" t="str">
        <f t="shared" ca="1" si="200"/>
        <v/>
      </c>
      <c r="O1387" s="41" t="str">
        <f t="shared" si="195"/>
        <v xml:space="preserve"> </v>
      </c>
      <c r="P1387" s="60">
        <f t="shared" si="196"/>
        <v>0</v>
      </c>
      <c r="Q1387" s="61"/>
    </row>
    <row r="1388" spans="1:17" ht="13">
      <c r="A1388" s="28">
        <v>0</v>
      </c>
      <c r="B1388" s="28" t="s">
        <v>1053</v>
      </c>
      <c r="C1388" s="129" t="s">
        <v>1050</v>
      </c>
      <c r="D1388" s="128">
        <v>0</v>
      </c>
      <c r="E1388" s="128" t="s">
        <v>1050</v>
      </c>
      <c r="F1388" s="29" t="s">
        <v>1050</v>
      </c>
      <c r="G1388" s="56" t="str">
        <f t="shared" ca="1" si="197"/>
        <v/>
      </c>
      <c r="H1388" s="28" t="str">
        <f t="shared" ca="1" si="198"/>
        <v/>
      </c>
      <c r="J1388" s="38" t="str">
        <f t="shared" si="192"/>
        <v xml:space="preserve"> </v>
      </c>
      <c r="K1388" s="39">
        <f t="shared" si="193"/>
        <v>0</v>
      </c>
      <c r="L1388" s="39" t="str">
        <f t="shared" si="194"/>
        <v/>
      </c>
      <c r="M1388" s="40" t="str">
        <f t="shared" si="199"/>
        <v xml:space="preserve"> </v>
      </c>
      <c r="N1388" s="41" t="str">
        <f t="shared" ca="1" si="200"/>
        <v/>
      </c>
      <c r="O1388" s="41" t="str">
        <f t="shared" si="195"/>
        <v xml:space="preserve"> </v>
      </c>
      <c r="P1388" s="60">
        <f t="shared" si="196"/>
        <v>0</v>
      </c>
      <c r="Q1388" s="61"/>
    </row>
    <row r="1389" spans="1:17" ht="13">
      <c r="A1389" s="28">
        <v>0</v>
      </c>
      <c r="B1389" s="28" t="s">
        <v>1053</v>
      </c>
      <c r="C1389" s="129" t="s">
        <v>1050</v>
      </c>
      <c r="D1389" s="128">
        <v>0</v>
      </c>
      <c r="E1389" s="128" t="s">
        <v>1050</v>
      </c>
      <c r="F1389" s="29" t="s">
        <v>1050</v>
      </c>
      <c r="G1389" s="56" t="str">
        <f t="shared" ca="1" si="197"/>
        <v/>
      </c>
      <c r="H1389" s="28" t="str">
        <f t="shared" ca="1" si="198"/>
        <v/>
      </c>
      <c r="J1389" s="38" t="str">
        <f t="shared" si="192"/>
        <v xml:space="preserve"> </v>
      </c>
      <c r="K1389" s="39">
        <f t="shared" si="193"/>
        <v>0</v>
      </c>
      <c r="L1389" s="39" t="str">
        <f t="shared" si="194"/>
        <v/>
      </c>
      <c r="M1389" s="40" t="str">
        <f t="shared" si="199"/>
        <v xml:space="preserve"> </v>
      </c>
      <c r="N1389" s="41" t="str">
        <f t="shared" ca="1" si="200"/>
        <v/>
      </c>
      <c r="O1389" s="41" t="str">
        <f t="shared" si="195"/>
        <v xml:space="preserve"> </v>
      </c>
      <c r="P1389" s="60">
        <f t="shared" si="196"/>
        <v>0</v>
      </c>
      <c r="Q1389" s="61"/>
    </row>
    <row r="1390" spans="1:17" ht="13">
      <c r="A1390" s="28">
        <v>0</v>
      </c>
      <c r="B1390" s="28" t="s">
        <v>1053</v>
      </c>
      <c r="C1390" s="129" t="s">
        <v>1050</v>
      </c>
      <c r="D1390" s="128">
        <v>0</v>
      </c>
      <c r="E1390" s="128" t="s">
        <v>1050</v>
      </c>
      <c r="F1390" s="29" t="s">
        <v>1050</v>
      </c>
      <c r="G1390" s="56" t="str">
        <f t="shared" ca="1" si="197"/>
        <v/>
      </c>
      <c r="H1390" s="28" t="str">
        <f t="shared" ca="1" si="198"/>
        <v/>
      </c>
      <c r="J1390" s="38" t="str">
        <f t="shared" si="192"/>
        <v xml:space="preserve"> </v>
      </c>
      <c r="K1390" s="39">
        <f t="shared" si="193"/>
        <v>0</v>
      </c>
      <c r="L1390" s="39" t="str">
        <f t="shared" si="194"/>
        <v/>
      </c>
      <c r="M1390" s="40" t="str">
        <f t="shared" si="199"/>
        <v xml:space="preserve"> </v>
      </c>
      <c r="N1390" s="41" t="str">
        <f t="shared" ca="1" si="200"/>
        <v/>
      </c>
      <c r="O1390" s="41" t="str">
        <f t="shared" si="195"/>
        <v xml:space="preserve"> </v>
      </c>
      <c r="P1390" s="60">
        <f t="shared" si="196"/>
        <v>0</v>
      </c>
      <c r="Q1390" s="61"/>
    </row>
    <row r="1391" spans="1:17" ht="13">
      <c r="A1391" s="28">
        <v>0</v>
      </c>
      <c r="B1391" s="28" t="s">
        <v>1053</v>
      </c>
      <c r="C1391" s="129" t="s">
        <v>1050</v>
      </c>
      <c r="D1391" s="128">
        <v>0</v>
      </c>
      <c r="E1391" s="128" t="s">
        <v>1050</v>
      </c>
      <c r="F1391" s="29" t="s">
        <v>1050</v>
      </c>
      <c r="G1391" s="56" t="str">
        <f t="shared" ca="1" si="197"/>
        <v/>
      </c>
      <c r="H1391" s="28" t="str">
        <f t="shared" ca="1" si="198"/>
        <v/>
      </c>
      <c r="J1391" s="38" t="str">
        <f t="shared" si="192"/>
        <v xml:space="preserve"> </v>
      </c>
      <c r="K1391" s="39">
        <f t="shared" si="193"/>
        <v>0</v>
      </c>
      <c r="L1391" s="39" t="str">
        <f t="shared" si="194"/>
        <v/>
      </c>
      <c r="M1391" s="40" t="str">
        <f t="shared" si="199"/>
        <v xml:space="preserve"> </v>
      </c>
      <c r="N1391" s="41" t="str">
        <f t="shared" ca="1" si="200"/>
        <v/>
      </c>
      <c r="O1391" s="41" t="str">
        <f t="shared" si="195"/>
        <v xml:space="preserve"> </v>
      </c>
      <c r="P1391" s="60">
        <f t="shared" si="196"/>
        <v>0</v>
      </c>
      <c r="Q1391" s="61"/>
    </row>
    <row r="1392" spans="1:17" ht="13">
      <c r="A1392" s="28">
        <v>0</v>
      </c>
      <c r="B1392" s="28" t="s">
        <v>1053</v>
      </c>
      <c r="C1392" s="129" t="s">
        <v>1050</v>
      </c>
      <c r="D1392" s="128">
        <v>0</v>
      </c>
      <c r="E1392" s="128" t="s">
        <v>1050</v>
      </c>
      <c r="F1392" s="29" t="s">
        <v>1050</v>
      </c>
      <c r="G1392" s="56" t="str">
        <f t="shared" ca="1" si="197"/>
        <v/>
      </c>
      <c r="H1392" s="28" t="str">
        <f t="shared" ca="1" si="198"/>
        <v/>
      </c>
      <c r="J1392" s="38" t="str">
        <f t="shared" si="192"/>
        <v xml:space="preserve"> </v>
      </c>
      <c r="K1392" s="39">
        <f t="shared" si="193"/>
        <v>0</v>
      </c>
      <c r="L1392" s="39" t="str">
        <f t="shared" si="194"/>
        <v/>
      </c>
      <c r="M1392" s="40" t="str">
        <f t="shared" si="199"/>
        <v xml:space="preserve"> </v>
      </c>
      <c r="N1392" s="41" t="str">
        <f t="shared" ca="1" si="200"/>
        <v/>
      </c>
      <c r="O1392" s="41" t="str">
        <f t="shared" si="195"/>
        <v xml:space="preserve"> </v>
      </c>
      <c r="P1392" s="60">
        <f t="shared" si="196"/>
        <v>0</v>
      </c>
      <c r="Q1392" s="61"/>
    </row>
    <row r="1393" spans="1:17" ht="13">
      <c r="A1393" s="28">
        <v>0</v>
      </c>
      <c r="B1393" s="28" t="s">
        <v>1053</v>
      </c>
      <c r="C1393" s="129" t="s">
        <v>1050</v>
      </c>
      <c r="D1393" s="128">
        <v>0</v>
      </c>
      <c r="E1393" s="128" t="s">
        <v>1050</v>
      </c>
      <c r="F1393" s="29" t="s">
        <v>1050</v>
      </c>
      <c r="G1393" s="56" t="str">
        <f t="shared" ca="1" si="197"/>
        <v/>
      </c>
      <c r="H1393" s="28" t="str">
        <f t="shared" ca="1" si="198"/>
        <v/>
      </c>
      <c r="J1393" s="38" t="str">
        <f t="shared" si="192"/>
        <v xml:space="preserve"> </v>
      </c>
      <c r="K1393" s="39">
        <f t="shared" si="193"/>
        <v>0</v>
      </c>
      <c r="L1393" s="39" t="str">
        <f t="shared" si="194"/>
        <v/>
      </c>
      <c r="M1393" s="40" t="str">
        <f t="shared" si="199"/>
        <v xml:space="preserve"> </v>
      </c>
      <c r="N1393" s="41" t="str">
        <f t="shared" ca="1" si="200"/>
        <v/>
      </c>
      <c r="O1393" s="41" t="str">
        <f t="shared" si="195"/>
        <v xml:space="preserve"> </v>
      </c>
      <c r="P1393" s="60">
        <f t="shared" si="196"/>
        <v>0</v>
      </c>
      <c r="Q1393" s="61"/>
    </row>
    <row r="1394" spans="1:17" ht="13">
      <c r="A1394" s="28">
        <v>0</v>
      </c>
      <c r="B1394" s="28" t="s">
        <v>1053</v>
      </c>
      <c r="C1394" s="129" t="s">
        <v>1050</v>
      </c>
      <c r="D1394" s="128">
        <v>0</v>
      </c>
      <c r="E1394" s="128" t="s">
        <v>1050</v>
      </c>
      <c r="F1394" s="29" t="s">
        <v>1050</v>
      </c>
      <c r="G1394" s="56" t="str">
        <f t="shared" ca="1" si="197"/>
        <v/>
      </c>
      <c r="H1394" s="28" t="str">
        <f t="shared" ca="1" si="198"/>
        <v/>
      </c>
      <c r="J1394" s="38" t="str">
        <f t="shared" si="192"/>
        <v xml:space="preserve"> </v>
      </c>
      <c r="K1394" s="39">
        <f t="shared" si="193"/>
        <v>0</v>
      </c>
      <c r="L1394" s="39" t="str">
        <f t="shared" si="194"/>
        <v/>
      </c>
      <c r="M1394" s="40" t="str">
        <f t="shared" si="199"/>
        <v xml:space="preserve"> </v>
      </c>
      <c r="N1394" s="41" t="str">
        <f t="shared" ca="1" si="200"/>
        <v/>
      </c>
      <c r="O1394" s="41" t="str">
        <f t="shared" si="195"/>
        <v xml:space="preserve"> </v>
      </c>
      <c r="P1394" s="60">
        <f t="shared" si="196"/>
        <v>0</v>
      </c>
      <c r="Q1394" s="61"/>
    </row>
    <row r="1395" spans="1:17" ht="13">
      <c r="A1395" s="28">
        <v>0</v>
      </c>
      <c r="B1395" s="28" t="s">
        <v>1053</v>
      </c>
      <c r="C1395" s="129" t="s">
        <v>1050</v>
      </c>
      <c r="D1395" s="128">
        <v>0</v>
      </c>
      <c r="E1395" s="128" t="s">
        <v>1050</v>
      </c>
      <c r="F1395" s="29" t="s">
        <v>1050</v>
      </c>
      <c r="G1395" s="56" t="str">
        <f t="shared" ca="1" si="197"/>
        <v/>
      </c>
      <c r="H1395" s="28" t="str">
        <f t="shared" ca="1" si="198"/>
        <v/>
      </c>
      <c r="J1395" s="38" t="str">
        <f t="shared" si="192"/>
        <v xml:space="preserve"> </v>
      </c>
      <c r="K1395" s="39">
        <f t="shared" si="193"/>
        <v>0</v>
      </c>
      <c r="L1395" s="39" t="str">
        <f t="shared" si="194"/>
        <v/>
      </c>
      <c r="M1395" s="40" t="str">
        <f t="shared" si="199"/>
        <v xml:space="preserve"> </v>
      </c>
      <c r="N1395" s="41" t="str">
        <f t="shared" ca="1" si="200"/>
        <v/>
      </c>
      <c r="O1395" s="41" t="str">
        <f t="shared" si="195"/>
        <v xml:space="preserve"> </v>
      </c>
      <c r="P1395" s="60">
        <f t="shared" si="196"/>
        <v>0</v>
      </c>
      <c r="Q1395" s="61"/>
    </row>
    <row r="1396" spans="1:17" ht="13">
      <c r="A1396" s="28">
        <v>0</v>
      </c>
      <c r="B1396" s="28" t="s">
        <v>1053</v>
      </c>
      <c r="C1396" s="129" t="s">
        <v>1050</v>
      </c>
      <c r="D1396" s="128">
        <v>0</v>
      </c>
      <c r="E1396" s="128" t="s">
        <v>1050</v>
      </c>
      <c r="F1396" s="29" t="s">
        <v>1050</v>
      </c>
      <c r="G1396" s="56" t="str">
        <f t="shared" ca="1" si="197"/>
        <v/>
      </c>
      <c r="H1396" s="28" t="str">
        <f t="shared" ca="1" si="198"/>
        <v/>
      </c>
      <c r="J1396" s="38" t="str">
        <f t="shared" si="192"/>
        <v xml:space="preserve"> </v>
      </c>
      <c r="K1396" s="39">
        <f t="shared" si="193"/>
        <v>0</v>
      </c>
      <c r="L1396" s="39" t="str">
        <f t="shared" si="194"/>
        <v/>
      </c>
      <c r="M1396" s="40" t="str">
        <f t="shared" si="199"/>
        <v xml:space="preserve"> </v>
      </c>
      <c r="N1396" s="41" t="str">
        <f t="shared" ca="1" si="200"/>
        <v/>
      </c>
      <c r="O1396" s="41" t="str">
        <f t="shared" si="195"/>
        <v xml:space="preserve"> </v>
      </c>
      <c r="P1396" s="60">
        <f t="shared" si="196"/>
        <v>0</v>
      </c>
      <c r="Q1396" s="61"/>
    </row>
    <row r="1397" spans="1:17" ht="13">
      <c r="A1397" s="28">
        <v>0</v>
      </c>
      <c r="B1397" s="28" t="s">
        <v>1053</v>
      </c>
      <c r="C1397" s="129" t="s">
        <v>1050</v>
      </c>
      <c r="D1397" s="128">
        <v>0</v>
      </c>
      <c r="E1397" s="128" t="s">
        <v>1050</v>
      </c>
      <c r="F1397" s="29" t="s">
        <v>1050</v>
      </c>
      <c r="G1397" s="56" t="str">
        <f t="shared" ca="1" si="197"/>
        <v/>
      </c>
      <c r="H1397" s="28" t="str">
        <f t="shared" ca="1" si="198"/>
        <v/>
      </c>
      <c r="J1397" s="38" t="str">
        <f t="shared" si="192"/>
        <v xml:space="preserve"> </v>
      </c>
      <c r="K1397" s="39">
        <f t="shared" si="193"/>
        <v>0</v>
      </c>
      <c r="L1397" s="39" t="str">
        <f t="shared" si="194"/>
        <v/>
      </c>
      <c r="M1397" s="40" t="str">
        <f t="shared" si="199"/>
        <v xml:space="preserve"> </v>
      </c>
      <c r="N1397" s="41" t="str">
        <f t="shared" ca="1" si="200"/>
        <v/>
      </c>
      <c r="O1397" s="41" t="str">
        <f t="shared" si="195"/>
        <v xml:space="preserve"> </v>
      </c>
      <c r="P1397" s="60">
        <f t="shared" si="196"/>
        <v>0</v>
      </c>
      <c r="Q1397" s="61"/>
    </row>
    <row r="1398" spans="1:17" ht="13">
      <c r="A1398" s="28">
        <v>0</v>
      </c>
      <c r="B1398" s="28" t="s">
        <v>1053</v>
      </c>
      <c r="C1398" s="129" t="s">
        <v>1050</v>
      </c>
      <c r="D1398" s="128">
        <v>0</v>
      </c>
      <c r="E1398" s="128" t="s">
        <v>1050</v>
      </c>
      <c r="F1398" s="29" t="s">
        <v>1050</v>
      </c>
      <c r="G1398" s="56" t="str">
        <f t="shared" ca="1" si="197"/>
        <v/>
      </c>
      <c r="H1398" s="28" t="str">
        <f t="shared" ca="1" si="198"/>
        <v/>
      </c>
      <c r="J1398" s="38" t="str">
        <f t="shared" si="192"/>
        <v xml:space="preserve"> </v>
      </c>
      <c r="K1398" s="39">
        <f t="shared" si="193"/>
        <v>0</v>
      </c>
      <c r="L1398" s="39" t="str">
        <f t="shared" si="194"/>
        <v/>
      </c>
      <c r="M1398" s="40" t="str">
        <f t="shared" si="199"/>
        <v xml:space="preserve"> </v>
      </c>
      <c r="N1398" s="41" t="str">
        <f t="shared" ca="1" si="200"/>
        <v/>
      </c>
      <c r="O1398" s="41" t="str">
        <f t="shared" si="195"/>
        <v xml:space="preserve"> </v>
      </c>
      <c r="P1398" s="60">
        <f t="shared" si="196"/>
        <v>0</v>
      </c>
      <c r="Q1398" s="61"/>
    </row>
    <row r="1399" spans="1:17" ht="13">
      <c r="A1399" s="28">
        <v>0</v>
      </c>
      <c r="B1399" s="28" t="s">
        <v>1053</v>
      </c>
      <c r="C1399" s="129" t="s">
        <v>1050</v>
      </c>
      <c r="D1399" s="128">
        <v>0</v>
      </c>
      <c r="E1399" s="128" t="s">
        <v>1050</v>
      </c>
      <c r="F1399" s="29" t="s">
        <v>1050</v>
      </c>
      <c r="G1399" s="56" t="str">
        <f t="shared" ca="1" si="197"/>
        <v/>
      </c>
      <c r="H1399" s="28" t="str">
        <f t="shared" ca="1" si="198"/>
        <v/>
      </c>
      <c r="J1399" s="38" t="str">
        <f t="shared" si="192"/>
        <v xml:space="preserve"> </v>
      </c>
      <c r="K1399" s="39">
        <f t="shared" si="193"/>
        <v>0</v>
      </c>
      <c r="L1399" s="39" t="str">
        <f t="shared" si="194"/>
        <v/>
      </c>
      <c r="M1399" s="40" t="str">
        <f t="shared" si="199"/>
        <v xml:space="preserve"> </v>
      </c>
      <c r="N1399" s="41" t="str">
        <f t="shared" ca="1" si="200"/>
        <v/>
      </c>
      <c r="O1399" s="41" t="str">
        <f t="shared" si="195"/>
        <v xml:space="preserve"> </v>
      </c>
      <c r="P1399" s="60">
        <f t="shared" si="196"/>
        <v>0</v>
      </c>
      <c r="Q1399" s="61"/>
    </row>
    <row r="1400" spans="1:17" ht="13">
      <c r="A1400" s="28">
        <v>0</v>
      </c>
      <c r="B1400" s="28" t="s">
        <v>1053</v>
      </c>
      <c r="C1400" s="129" t="s">
        <v>1050</v>
      </c>
      <c r="D1400" s="128">
        <v>0</v>
      </c>
      <c r="E1400" s="128" t="s">
        <v>1050</v>
      </c>
      <c r="F1400" s="29" t="s">
        <v>1050</v>
      </c>
      <c r="G1400" s="56" t="str">
        <f t="shared" ca="1" si="197"/>
        <v/>
      </c>
      <c r="H1400" s="28" t="str">
        <f t="shared" ca="1" si="198"/>
        <v/>
      </c>
      <c r="J1400" s="38" t="str">
        <f t="shared" si="192"/>
        <v xml:space="preserve"> </v>
      </c>
      <c r="K1400" s="39">
        <f t="shared" si="193"/>
        <v>0</v>
      </c>
      <c r="L1400" s="39" t="str">
        <f t="shared" si="194"/>
        <v/>
      </c>
      <c r="M1400" s="40" t="str">
        <f t="shared" si="199"/>
        <v xml:space="preserve"> </v>
      </c>
      <c r="N1400" s="41" t="str">
        <f t="shared" ca="1" si="200"/>
        <v/>
      </c>
      <c r="O1400" s="41" t="str">
        <f t="shared" si="195"/>
        <v xml:space="preserve"> </v>
      </c>
      <c r="P1400" s="60">
        <f t="shared" si="196"/>
        <v>0</v>
      </c>
      <c r="Q1400" s="61"/>
    </row>
    <row r="1401" spans="1:17" ht="13">
      <c r="A1401" s="28">
        <v>0</v>
      </c>
      <c r="B1401" s="28" t="s">
        <v>1053</v>
      </c>
      <c r="C1401" s="129" t="s">
        <v>1050</v>
      </c>
      <c r="D1401" s="128">
        <v>0</v>
      </c>
      <c r="E1401" s="128" t="s">
        <v>1050</v>
      </c>
      <c r="F1401" s="29" t="s">
        <v>1050</v>
      </c>
      <c r="G1401" s="56" t="str">
        <f t="shared" ca="1" si="197"/>
        <v/>
      </c>
      <c r="H1401" s="28" t="str">
        <f t="shared" ca="1" si="198"/>
        <v/>
      </c>
      <c r="J1401" s="38" t="str">
        <f t="shared" si="192"/>
        <v xml:space="preserve"> </v>
      </c>
      <c r="K1401" s="39">
        <f t="shared" si="193"/>
        <v>0</v>
      </c>
      <c r="L1401" s="39" t="str">
        <f t="shared" si="194"/>
        <v/>
      </c>
      <c r="M1401" s="40" t="str">
        <f t="shared" si="199"/>
        <v xml:space="preserve"> </v>
      </c>
      <c r="N1401" s="41" t="str">
        <f t="shared" ca="1" si="200"/>
        <v/>
      </c>
      <c r="O1401" s="41" t="str">
        <f t="shared" si="195"/>
        <v xml:space="preserve"> </v>
      </c>
      <c r="P1401" s="60">
        <f t="shared" si="196"/>
        <v>0</v>
      </c>
      <c r="Q1401" s="61"/>
    </row>
    <row r="1402" spans="1:17" ht="13">
      <c r="A1402" s="28">
        <v>0</v>
      </c>
      <c r="B1402" s="28" t="s">
        <v>1053</v>
      </c>
      <c r="C1402" s="129" t="s">
        <v>1050</v>
      </c>
      <c r="D1402" s="128">
        <v>0</v>
      </c>
      <c r="E1402" s="128" t="s">
        <v>1050</v>
      </c>
      <c r="F1402" s="29" t="s">
        <v>1050</v>
      </c>
      <c r="G1402" s="56" t="str">
        <f t="shared" ca="1" si="197"/>
        <v/>
      </c>
      <c r="H1402" s="28" t="str">
        <f t="shared" ca="1" si="198"/>
        <v/>
      </c>
      <c r="J1402" s="38" t="str">
        <f t="shared" si="192"/>
        <v xml:space="preserve"> </v>
      </c>
      <c r="K1402" s="39">
        <f t="shared" si="193"/>
        <v>0</v>
      </c>
      <c r="L1402" s="39" t="str">
        <f t="shared" si="194"/>
        <v/>
      </c>
      <c r="M1402" s="40" t="str">
        <f t="shared" si="199"/>
        <v xml:space="preserve"> </v>
      </c>
      <c r="N1402" s="41" t="str">
        <f t="shared" ca="1" si="200"/>
        <v/>
      </c>
      <c r="O1402" s="41" t="str">
        <f t="shared" si="195"/>
        <v xml:space="preserve"> </v>
      </c>
      <c r="P1402" s="60">
        <f t="shared" si="196"/>
        <v>0</v>
      </c>
      <c r="Q1402" s="61"/>
    </row>
    <row r="1403" spans="1:17" ht="13">
      <c r="A1403" s="28">
        <v>0</v>
      </c>
      <c r="B1403" s="28" t="s">
        <v>1053</v>
      </c>
      <c r="C1403" s="129" t="s">
        <v>1050</v>
      </c>
      <c r="D1403" s="128">
        <v>0</v>
      </c>
      <c r="E1403" s="128" t="s">
        <v>1050</v>
      </c>
      <c r="F1403" s="29" t="s">
        <v>1050</v>
      </c>
      <c r="G1403" s="56" t="str">
        <f t="shared" ca="1" si="197"/>
        <v/>
      </c>
      <c r="H1403" s="28" t="str">
        <f t="shared" ca="1" si="198"/>
        <v/>
      </c>
      <c r="J1403" s="38" t="str">
        <f t="shared" si="192"/>
        <v xml:space="preserve"> </v>
      </c>
      <c r="K1403" s="39">
        <f t="shared" si="193"/>
        <v>0</v>
      </c>
      <c r="L1403" s="39" t="str">
        <f t="shared" si="194"/>
        <v/>
      </c>
      <c r="M1403" s="40" t="str">
        <f t="shared" si="199"/>
        <v xml:space="preserve"> </v>
      </c>
      <c r="N1403" s="41" t="str">
        <f t="shared" ca="1" si="200"/>
        <v/>
      </c>
      <c r="O1403" s="41" t="str">
        <f t="shared" si="195"/>
        <v xml:space="preserve"> </v>
      </c>
      <c r="P1403" s="60">
        <f t="shared" si="196"/>
        <v>0</v>
      </c>
      <c r="Q1403" s="61"/>
    </row>
    <row r="1404" spans="1:17" ht="13">
      <c r="A1404" s="28">
        <v>0</v>
      </c>
      <c r="B1404" s="28" t="s">
        <v>1053</v>
      </c>
      <c r="C1404" s="129" t="s">
        <v>1050</v>
      </c>
      <c r="D1404" s="128">
        <v>0</v>
      </c>
      <c r="E1404" s="128" t="s">
        <v>1050</v>
      </c>
      <c r="F1404" s="29" t="s">
        <v>1050</v>
      </c>
      <c r="G1404" s="56" t="str">
        <f t="shared" ca="1" si="197"/>
        <v/>
      </c>
      <c r="H1404" s="28" t="str">
        <f t="shared" ca="1" si="198"/>
        <v/>
      </c>
      <c r="J1404" s="38" t="str">
        <f t="shared" si="192"/>
        <v xml:space="preserve"> </v>
      </c>
      <c r="K1404" s="39">
        <f t="shared" si="193"/>
        <v>0</v>
      </c>
      <c r="L1404" s="39" t="str">
        <f t="shared" si="194"/>
        <v/>
      </c>
      <c r="M1404" s="40" t="str">
        <f t="shared" si="199"/>
        <v xml:space="preserve"> </v>
      </c>
      <c r="N1404" s="41" t="str">
        <f t="shared" ca="1" si="200"/>
        <v/>
      </c>
      <c r="O1404" s="41" t="str">
        <f t="shared" si="195"/>
        <v xml:space="preserve"> </v>
      </c>
      <c r="P1404" s="60">
        <f t="shared" si="196"/>
        <v>0</v>
      </c>
      <c r="Q1404" s="61"/>
    </row>
    <row r="1405" spans="1:17" ht="13">
      <c r="A1405" s="28">
        <v>0</v>
      </c>
      <c r="B1405" s="28" t="s">
        <v>1053</v>
      </c>
      <c r="C1405" s="129" t="s">
        <v>1050</v>
      </c>
      <c r="D1405" s="128">
        <v>0</v>
      </c>
      <c r="E1405" s="128" t="s">
        <v>1050</v>
      </c>
      <c r="F1405" s="29" t="s">
        <v>1050</v>
      </c>
      <c r="G1405" s="56" t="str">
        <f t="shared" ca="1" si="197"/>
        <v/>
      </c>
      <c r="H1405" s="28" t="str">
        <f t="shared" ca="1" si="198"/>
        <v/>
      </c>
      <c r="J1405" s="38" t="str">
        <f t="shared" si="192"/>
        <v xml:space="preserve"> </v>
      </c>
      <c r="K1405" s="39">
        <f t="shared" si="193"/>
        <v>0</v>
      </c>
      <c r="L1405" s="39" t="str">
        <f t="shared" si="194"/>
        <v/>
      </c>
      <c r="M1405" s="40" t="str">
        <f t="shared" si="199"/>
        <v xml:space="preserve"> </v>
      </c>
      <c r="N1405" s="41" t="str">
        <f t="shared" ca="1" si="200"/>
        <v/>
      </c>
      <c r="O1405" s="41" t="str">
        <f t="shared" si="195"/>
        <v xml:space="preserve"> </v>
      </c>
      <c r="P1405" s="60">
        <f t="shared" si="196"/>
        <v>0</v>
      </c>
      <c r="Q1405" s="61"/>
    </row>
    <row r="1406" spans="1:17" ht="13">
      <c r="A1406" s="28">
        <v>0</v>
      </c>
      <c r="B1406" s="28" t="s">
        <v>1053</v>
      </c>
      <c r="C1406" s="129" t="s">
        <v>1050</v>
      </c>
      <c r="D1406" s="128">
        <v>0</v>
      </c>
      <c r="E1406" s="128" t="s">
        <v>1050</v>
      </c>
      <c r="F1406" s="29" t="s">
        <v>1050</v>
      </c>
      <c r="G1406" s="56" t="str">
        <f t="shared" ca="1" si="197"/>
        <v/>
      </c>
      <c r="H1406" s="28" t="str">
        <f t="shared" ca="1" si="198"/>
        <v/>
      </c>
      <c r="J1406" s="38" t="str">
        <f t="shared" si="192"/>
        <v xml:space="preserve"> </v>
      </c>
      <c r="K1406" s="39">
        <f t="shared" si="193"/>
        <v>0</v>
      </c>
      <c r="L1406" s="39" t="str">
        <f t="shared" si="194"/>
        <v/>
      </c>
      <c r="M1406" s="40" t="str">
        <f t="shared" si="199"/>
        <v xml:space="preserve"> </v>
      </c>
      <c r="N1406" s="41" t="str">
        <f t="shared" ca="1" si="200"/>
        <v/>
      </c>
      <c r="O1406" s="41" t="str">
        <f t="shared" si="195"/>
        <v xml:space="preserve"> </v>
      </c>
      <c r="P1406" s="60">
        <f t="shared" si="196"/>
        <v>0</v>
      </c>
      <c r="Q1406" s="61"/>
    </row>
    <row r="1407" spans="1:17" ht="13">
      <c r="A1407" s="28">
        <v>0</v>
      </c>
      <c r="B1407" s="28" t="s">
        <v>1053</v>
      </c>
      <c r="C1407" s="129" t="s">
        <v>1050</v>
      </c>
      <c r="D1407" s="128">
        <v>0</v>
      </c>
      <c r="E1407" s="128" t="s">
        <v>1050</v>
      </c>
      <c r="F1407" s="29" t="s">
        <v>1050</v>
      </c>
      <c r="G1407" s="56" t="str">
        <f t="shared" ca="1" si="197"/>
        <v/>
      </c>
      <c r="H1407" s="28" t="str">
        <f t="shared" ca="1" si="198"/>
        <v/>
      </c>
      <c r="J1407" s="38" t="str">
        <f t="shared" si="192"/>
        <v xml:space="preserve"> </v>
      </c>
      <c r="K1407" s="39">
        <f t="shared" si="193"/>
        <v>0</v>
      </c>
      <c r="L1407" s="39" t="str">
        <f t="shared" si="194"/>
        <v/>
      </c>
      <c r="M1407" s="40" t="str">
        <f t="shared" si="199"/>
        <v xml:space="preserve"> </v>
      </c>
      <c r="N1407" s="41" t="str">
        <f t="shared" ca="1" si="200"/>
        <v/>
      </c>
      <c r="O1407" s="41" t="str">
        <f t="shared" si="195"/>
        <v xml:space="preserve"> </v>
      </c>
      <c r="P1407" s="60">
        <f t="shared" si="196"/>
        <v>0</v>
      </c>
      <c r="Q1407" s="61"/>
    </row>
    <row r="1408" spans="1:17" ht="13">
      <c r="A1408" s="28">
        <v>0</v>
      </c>
      <c r="B1408" s="28" t="s">
        <v>1053</v>
      </c>
      <c r="C1408" s="129" t="s">
        <v>1050</v>
      </c>
      <c r="D1408" s="128">
        <v>0</v>
      </c>
      <c r="E1408" s="128" t="s">
        <v>1050</v>
      </c>
      <c r="F1408" s="29" t="s">
        <v>1050</v>
      </c>
      <c r="G1408" s="56" t="str">
        <f t="shared" ca="1" si="197"/>
        <v/>
      </c>
      <c r="H1408" s="28" t="str">
        <f t="shared" ca="1" si="198"/>
        <v/>
      </c>
      <c r="J1408" s="38" t="str">
        <f t="shared" si="192"/>
        <v xml:space="preserve"> </v>
      </c>
      <c r="K1408" s="39">
        <f t="shared" si="193"/>
        <v>0</v>
      </c>
      <c r="L1408" s="39" t="str">
        <f t="shared" si="194"/>
        <v/>
      </c>
      <c r="M1408" s="40" t="str">
        <f t="shared" si="199"/>
        <v xml:space="preserve"> </v>
      </c>
      <c r="N1408" s="41" t="str">
        <f t="shared" ca="1" si="200"/>
        <v/>
      </c>
      <c r="O1408" s="41" t="str">
        <f t="shared" si="195"/>
        <v xml:space="preserve"> </v>
      </c>
      <c r="P1408" s="60">
        <f t="shared" si="196"/>
        <v>0</v>
      </c>
      <c r="Q1408" s="61"/>
    </row>
    <row r="1409" spans="1:17" ht="13">
      <c r="A1409" s="28">
        <v>0</v>
      </c>
      <c r="B1409" s="28" t="s">
        <v>1053</v>
      </c>
      <c r="C1409" s="129" t="s">
        <v>1050</v>
      </c>
      <c r="D1409" s="128">
        <v>0</v>
      </c>
      <c r="E1409" s="128" t="s">
        <v>1050</v>
      </c>
      <c r="F1409" s="29" t="s">
        <v>1050</v>
      </c>
      <c r="G1409" s="56" t="str">
        <f t="shared" ca="1" si="197"/>
        <v/>
      </c>
      <c r="H1409" s="28" t="str">
        <f t="shared" ca="1" si="198"/>
        <v/>
      </c>
      <c r="J1409" s="38" t="str">
        <f t="shared" si="192"/>
        <v xml:space="preserve"> </v>
      </c>
      <c r="K1409" s="39">
        <f t="shared" si="193"/>
        <v>0</v>
      </c>
      <c r="L1409" s="39" t="str">
        <f t="shared" si="194"/>
        <v/>
      </c>
      <c r="M1409" s="40" t="str">
        <f t="shared" si="199"/>
        <v xml:space="preserve"> </v>
      </c>
      <c r="N1409" s="41" t="str">
        <f t="shared" ca="1" si="200"/>
        <v/>
      </c>
      <c r="O1409" s="41" t="str">
        <f t="shared" si="195"/>
        <v xml:space="preserve"> </v>
      </c>
      <c r="P1409" s="60">
        <f t="shared" si="196"/>
        <v>0</v>
      </c>
      <c r="Q1409" s="61"/>
    </row>
    <row r="1410" spans="1:17" ht="13">
      <c r="A1410" s="28">
        <v>0</v>
      </c>
      <c r="B1410" s="28" t="s">
        <v>1053</v>
      </c>
      <c r="C1410" s="129" t="s">
        <v>1050</v>
      </c>
      <c r="D1410" s="128">
        <v>0</v>
      </c>
      <c r="E1410" s="128" t="s">
        <v>1050</v>
      </c>
      <c r="F1410" s="29" t="s">
        <v>1050</v>
      </c>
      <c r="G1410" s="56" t="str">
        <f t="shared" ca="1" si="197"/>
        <v/>
      </c>
      <c r="H1410" s="28" t="str">
        <f t="shared" ca="1" si="198"/>
        <v/>
      </c>
      <c r="J1410" s="38" t="str">
        <f t="shared" ref="J1410:J1473" si="201">C1410</f>
        <v xml:space="preserve"> </v>
      </c>
      <c r="K1410" s="39">
        <f t="shared" ref="K1410:K1473" si="202">A1410</f>
        <v>0</v>
      </c>
      <c r="L1410" s="39" t="str">
        <f t="shared" ref="L1410:L1473" si="203">B1410</f>
        <v/>
      </c>
      <c r="M1410" s="40" t="str">
        <f t="shared" si="199"/>
        <v xml:space="preserve"> </v>
      </c>
      <c r="N1410" s="41" t="str">
        <f t="shared" ca="1" si="200"/>
        <v/>
      </c>
      <c r="O1410" s="41" t="str">
        <f t="shared" ref="O1410:O1474" si="204">E1410</f>
        <v xml:space="preserve"> </v>
      </c>
      <c r="P1410" s="60">
        <f t="shared" ref="P1410:P1474" si="205">D1410</f>
        <v>0</v>
      </c>
      <c r="Q1410" s="61"/>
    </row>
    <row r="1411" spans="1:17" ht="13">
      <c r="A1411" s="28">
        <v>0</v>
      </c>
      <c r="B1411" s="28" t="s">
        <v>1053</v>
      </c>
      <c r="C1411" s="129" t="s">
        <v>1050</v>
      </c>
      <c r="D1411" s="128">
        <v>0</v>
      </c>
      <c r="E1411" s="128" t="s">
        <v>1050</v>
      </c>
      <c r="F1411" s="29" t="s">
        <v>1050</v>
      </c>
      <c r="G1411" s="5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B",IF(YEAR(TODAY())-YEAR(F1411)&lt;14,"Infantil",IF(YEAR(TODAY())-YEAR(F1411)&lt;16,"Iniciado",IF(YEAR(TODAY())-YEAR(F1411)&lt;18,"Juvenil",IF(YEAR(TODAY())-YEAR(F1411)&lt;20,"Júnior",IF(YEAR(TODAY())-YEAR(F1411)&lt;23,"sub 23",IF(ROUNDDOWN(INT(TODAY()-F1411)/365.25,0)&lt;35,"Sénior",IF(ROUNDDOWN(INT(TODAY()-F1411)/365.25,0)&lt;40,"V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65",IF(ROUNDDOWN(INT(TODAY()-F1411)/365.25,0)&lt;75,"V 70",IF(ROUNDDOWN(INT(TODAY()-F1411)/365.25,0)&lt;80,"V 75",IF(ROUNDDOWN(INT(TODAY()-F1411)/365.25,0)&lt;85,"V 80",IF(ROUNDDOWN(INT(TODAY()-F1411)/365.25,0)&lt;90,"V 85",IF(ROUNDDOWN(INT(TODAY()-F1411)/365.25,0)&lt;95,"V 90",IF(ROUNDDOWN(INT(TODAY()-F1411)/365.25,0)&lt;100,"V 95",IF(ROUNDDOWN(INT(TODAY()-F1411)/365.25,0)&gt;=100,"V 100",""))))))))))))))))))))))),"")</f>
        <v/>
      </c>
      <c r="H1411" s="28" t="str">
        <f t="shared" ref="H1411:H1474" ca="1" si="207">IFERROR(IF($A1411&gt;0,ROUNDDOWN(INT(TODAY()-F1411)/365.25,0),""),"")</f>
        <v/>
      </c>
      <c r="J1411" s="38" t="str">
        <f t="shared" si="201"/>
        <v xml:space="preserve"> </v>
      </c>
      <c r="K1411" s="39">
        <f t="shared" si="202"/>
        <v>0</v>
      </c>
      <c r="L1411" s="39" t="str">
        <f t="shared" si="203"/>
        <v/>
      </c>
      <c r="M1411" s="40" t="str">
        <f t="shared" ref="M1411:M1474" si="208">F1411</f>
        <v xml:space="preserve"> </v>
      </c>
      <c r="N1411" s="41" t="str">
        <f t="shared" ref="N1411:N1474" ca="1" si="209">G1411</f>
        <v/>
      </c>
      <c r="O1411" s="41" t="str">
        <f t="shared" si="204"/>
        <v xml:space="preserve"> </v>
      </c>
      <c r="P1411" s="60">
        <f t="shared" si="205"/>
        <v>0</v>
      </c>
      <c r="Q1411" s="61"/>
    </row>
    <row r="1412" spans="1:17" ht="13">
      <c r="A1412" s="28">
        <v>0</v>
      </c>
      <c r="B1412" s="28" t="s">
        <v>1053</v>
      </c>
      <c r="C1412" s="129" t="s">
        <v>1050</v>
      </c>
      <c r="D1412" s="128">
        <v>0</v>
      </c>
      <c r="E1412" s="128" t="s">
        <v>1050</v>
      </c>
      <c r="F1412" s="29" t="s">
        <v>1050</v>
      </c>
      <c r="G1412" s="56" t="str">
        <f t="shared" ca="1" si="206"/>
        <v/>
      </c>
      <c r="H1412" s="28" t="str">
        <f t="shared" ca="1" si="207"/>
        <v/>
      </c>
      <c r="J1412" s="38" t="str">
        <f t="shared" si="201"/>
        <v xml:space="preserve"> </v>
      </c>
      <c r="K1412" s="39">
        <f t="shared" si="202"/>
        <v>0</v>
      </c>
      <c r="L1412" s="39" t="str">
        <f t="shared" si="203"/>
        <v/>
      </c>
      <c r="M1412" s="40" t="str">
        <f t="shared" si="208"/>
        <v xml:space="preserve"> </v>
      </c>
      <c r="N1412" s="41" t="str">
        <f t="shared" ca="1" si="209"/>
        <v/>
      </c>
      <c r="O1412" s="41" t="str">
        <f t="shared" si="204"/>
        <v xml:space="preserve"> </v>
      </c>
      <c r="P1412" s="60">
        <f t="shared" si="205"/>
        <v>0</v>
      </c>
      <c r="Q1412" s="61"/>
    </row>
    <row r="1413" spans="1:17" ht="13">
      <c r="A1413" s="28">
        <v>0</v>
      </c>
      <c r="B1413" s="28" t="s">
        <v>1053</v>
      </c>
      <c r="C1413" s="129" t="s">
        <v>1050</v>
      </c>
      <c r="D1413" s="128">
        <v>0</v>
      </c>
      <c r="E1413" s="128" t="s">
        <v>1050</v>
      </c>
      <c r="F1413" s="29" t="s">
        <v>1050</v>
      </c>
      <c r="G1413" s="56" t="str">
        <f t="shared" ca="1" si="206"/>
        <v/>
      </c>
      <c r="H1413" s="28" t="str">
        <f t="shared" ca="1" si="207"/>
        <v/>
      </c>
      <c r="J1413" s="38" t="str">
        <f t="shared" si="201"/>
        <v xml:space="preserve"> </v>
      </c>
      <c r="K1413" s="39">
        <f t="shared" si="202"/>
        <v>0</v>
      </c>
      <c r="L1413" s="39" t="str">
        <f t="shared" si="203"/>
        <v/>
      </c>
      <c r="M1413" s="40" t="str">
        <f t="shared" si="208"/>
        <v xml:space="preserve"> </v>
      </c>
      <c r="N1413" s="41" t="str">
        <f t="shared" ca="1" si="209"/>
        <v/>
      </c>
      <c r="O1413" s="41" t="str">
        <f t="shared" si="204"/>
        <v xml:space="preserve"> </v>
      </c>
      <c r="P1413" s="60">
        <f t="shared" si="205"/>
        <v>0</v>
      </c>
      <c r="Q1413" s="61"/>
    </row>
    <row r="1414" spans="1:17" ht="13">
      <c r="A1414" s="28">
        <v>0</v>
      </c>
      <c r="B1414" s="28" t="s">
        <v>1053</v>
      </c>
      <c r="C1414" s="129" t="s">
        <v>1050</v>
      </c>
      <c r="D1414" s="128">
        <v>0</v>
      </c>
      <c r="E1414" s="128" t="s">
        <v>1050</v>
      </c>
      <c r="F1414" s="29" t="s">
        <v>1050</v>
      </c>
      <c r="G1414" s="56" t="str">
        <f t="shared" ca="1" si="206"/>
        <v/>
      </c>
      <c r="H1414" s="28" t="str">
        <f t="shared" ca="1" si="207"/>
        <v/>
      </c>
      <c r="J1414" s="38" t="str">
        <f t="shared" si="201"/>
        <v xml:space="preserve"> </v>
      </c>
      <c r="K1414" s="39">
        <f t="shared" si="202"/>
        <v>0</v>
      </c>
      <c r="L1414" s="39" t="str">
        <f t="shared" si="203"/>
        <v/>
      </c>
      <c r="M1414" s="40" t="str">
        <f t="shared" si="208"/>
        <v xml:space="preserve"> </v>
      </c>
      <c r="N1414" s="41" t="str">
        <f t="shared" ca="1" si="209"/>
        <v/>
      </c>
      <c r="O1414" s="41" t="str">
        <f t="shared" si="204"/>
        <v xml:space="preserve"> </v>
      </c>
      <c r="P1414" s="60">
        <f t="shared" si="205"/>
        <v>0</v>
      </c>
      <c r="Q1414" s="61"/>
    </row>
    <row r="1415" spans="1:17" ht="13">
      <c r="A1415" s="28">
        <v>0</v>
      </c>
      <c r="B1415" s="28" t="s">
        <v>1053</v>
      </c>
      <c r="C1415" s="129" t="s">
        <v>1050</v>
      </c>
      <c r="D1415" s="128">
        <v>0</v>
      </c>
      <c r="E1415" s="128" t="s">
        <v>1050</v>
      </c>
      <c r="F1415" s="29" t="s">
        <v>1050</v>
      </c>
      <c r="G1415" s="56" t="str">
        <f t="shared" ca="1" si="206"/>
        <v/>
      </c>
      <c r="H1415" s="28" t="str">
        <f t="shared" ca="1" si="207"/>
        <v/>
      </c>
      <c r="J1415" s="38" t="str">
        <f t="shared" si="201"/>
        <v xml:space="preserve"> </v>
      </c>
      <c r="K1415" s="39">
        <f t="shared" si="202"/>
        <v>0</v>
      </c>
      <c r="L1415" s="39" t="str">
        <f t="shared" si="203"/>
        <v/>
      </c>
      <c r="M1415" s="40" t="str">
        <f t="shared" si="208"/>
        <v xml:space="preserve"> </v>
      </c>
      <c r="N1415" s="41" t="str">
        <f t="shared" ca="1" si="209"/>
        <v/>
      </c>
      <c r="O1415" s="41" t="str">
        <f t="shared" si="204"/>
        <v xml:space="preserve"> </v>
      </c>
      <c r="P1415" s="60">
        <f t="shared" si="205"/>
        <v>0</v>
      </c>
      <c r="Q1415" s="61"/>
    </row>
    <row r="1416" spans="1:17" ht="13">
      <c r="A1416" s="28">
        <v>0</v>
      </c>
      <c r="B1416" s="28" t="s">
        <v>1053</v>
      </c>
      <c r="C1416" s="129" t="s">
        <v>1050</v>
      </c>
      <c r="D1416" s="128">
        <v>0</v>
      </c>
      <c r="E1416" s="128" t="s">
        <v>1050</v>
      </c>
      <c r="F1416" s="29" t="s">
        <v>1050</v>
      </c>
      <c r="G1416" s="56" t="str">
        <f t="shared" ca="1" si="206"/>
        <v/>
      </c>
      <c r="H1416" s="28" t="str">
        <f t="shared" ca="1" si="207"/>
        <v/>
      </c>
      <c r="J1416" s="38" t="str">
        <f t="shared" si="201"/>
        <v xml:space="preserve"> </v>
      </c>
      <c r="K1416" s="39">
        <f t="shared" si="202"/>
        <v>0</v>
      </c>
      <c r="L1416" s="39" t="str">
        <f t="shared" si="203"/>
        <v/>
      </c>
      <c r="M1416" s="40" t="str">
        <f t="shared" si="208"/>
        <v xml:space="preserve"> </v>
      </c>
      <c r="N1416" s="41" t="str">
        <f t="shared" ca="1" si="209"/>
        <v/>
      </c>
      <c r="O1416" s="41" t="str">
        <f t="shared" si="204"/>
        <v xml:space="preserve"> </v>
      </c>
      <c r="P1416" s="60">
        <f t="shared" si="205"/>
        <v>0</v>
      </c>
      <c r="Q1416" s="61"/>
    </row>
    <row r="1417" spans="1:17" ht="13">
      <c r="A1417" s="28">
        <v>0</v>
      </c>
      <c r="B1417" s="28" t="s">
        <v>1053</v>
      </c>
      <c r="C1417" s="129" t="s">
        <v>1050</v>
      </c>
      <c r="D1417" s="128">
        <v>0</v>
      </c>
      <c r="E1417" s="128" t="s">
        <v>1050</v>
      </c>
      <c r="F1417" s="29" t="s">
        <v>1050</v>
      </c>
      <c r="G1417" s="56" t="str">
        <f t="shared" ca="1" si="206"/>
        <v/>
      </c>
      <c r="H1417" s="28" t="str">
        <f t="shared" ca="1" si="207"/>
        <v/>
      </c>
      <c r="J1417" s="38" t="str">
        <f t="shared" si="201"/>
        <v xml:space="preserve"> </v>
      </c>
      <c r="K1417" s="39">
        <f t="shared" si="202"/>
        <v>0</v>
      </c>
      <c r="L1417" s="39" t="str">
        <f t="shared" si="203"/>
        <v/>
      </c>
      <c r="M1417" s="40" t="str">
        <f t="shared" si="208"/>
        <v xml:space="preserve"> </v>
      </c>
      <c r="N1417" s="41" t="str">
        <f t="shared" ca="1" si="209"/>
        <v/>
      </c>
      <c r="O1417" s="41" t="str">
        <f t="shared" si="204"/>
        <v xml:space="preserve"> </v>
      </c>
      <c r="P1417" s="60">
        <f t="shared" si="205"/>
        <v>0</v>
      </c>
      <c r="Q1417" s="61"/>
    </row>
    <row r="1418" spans="1:17" ht="13">
      <c r="A1418" s="28">
        <v>0</v>
      </c>
      <c r="B1418" s="28" t="s">
        <v>1053</v>
      </c>
      <c r="C1418" s="129" t="s">
        <v>1050</v>
      </c>
      <c r="D1418" s="128">
        <v>0</v>
      </c>
      <c r="E1418" s="128" t="s">
        <v>1050</v>
      </c>
      <c r="F1418" s="29" t="s">
        <v>1050</v>
      </c>
      <c r="G1418" s="56" t="str">
        <f t="shared" ca="1" si="206"/>
        <v/>
      </c>
      <c r="H1418" s="28" t="str">
        <f t="shared" ca="1" si="207"/>
        <v/>
      </c>
      <c r="J1418" s="38" t="str">
        <f t="shared" si="201"/>
        <v xml:space="preserve"> </v>
      </c>
      <c r="K1418" s="39">
        <f t="shared" si="202"/>
        <v>0</v>
      </c>
      <c r="L1418" s="39" t="str">
        <f t="shared" si="203"/>
        <v/>
      </c>
      <c r="M1418" s="40" t="str">
        <f t="shared" si="208"/>
        <v xml:space="preserve"> </v>
      </c>
      <c r="N1418" s="41" t="str">
        <f t="shared" ca="1" si="209"/>
        <v/>
      </c>
      <c r="O1418" s="41" t="str">
        <f t="shared" si="204"/>
        <v xml:space="preserve"> </v>
      </c>
      <c r="P1418" s="60">
        <f t="shared" si="205"/>
        <v>0</v>
      </c>
      <c r="Q1418" s="61"/>
    </row>
    <row r="1419" spans="1:17" ht="13">
      <c r="A1419" s="28">
        <v>0</v>
      </c>
      <c r="B1419" s="28" t="s">
        <v>1053</v>
      </c>
      <c r="C1419" s="129" t="s">
        <v>1050</v>
      </c>
      <c r="D1419" s="128">
        <v>0</v>
      </c>
      <c r="E1419" s="128" t="s">
        <v>1050</v>
      </c>
      <c r="F1419" s="29" t="s">
        <v>1050</v>
      </c>
      <c r="G1419" s="56" t="str">
        <f t="shared" ca="1" si="206"/>
        <v/>
      </c>
      <c r="H1419" s="28" t="str">
        <f t="shared" ca="1" si="207"/>
        <v/>
      </c>
      <c r="J1419" s="38" t="str">
        <f t="shared" si="201"/>
        <v xml:space="preserve"> </v>
      </c>
      <c r="K1419" s="39">
        <f t="shared" si="202"/>
        <v>0</v>
      </c>
      <c r="L1419" s="39" t="str">
        <f t="shared" si="203"/>
        <v/>
      </c>
      <c r="M1419" s="40" t="str">
        <f t="shared" si="208"/>
        <v xml:space="preserve"> </v>
      </c>
      <c r="N1419" s="41" t="str">
        <f t="shared" ca="1" si="209"/>
        <v/>
      </c>
      <c r="O1419" s="41" t="str">
        <f t="shared" si="204"/>
        <v xml:space="preserve"> </v>
      </c>
      <c r="P1419" s="60">
        <f t="shared" si="205"/>
        <v>0</v>
      </c>
      <c r="Q1419" s="61"/>
    </row>
    <row r="1420" spans="1:17" ht="13">
      <c r="A1420" s="28">
        <v>0</v>
      </c>
      <c r="B1420" s="28" t="s">
        <v>1053</v>
      </c>
      <c r="C1420" s="129" t="s">
        <v>1050</v>
      </c>
      <c r="D1420" s="128">
        <v>0</v>
      </c>
      <c r="E1420" s="128" t="s">
        <v>1050</v>
      </c>
      <c r="F1420" s="29" t="s">
        <v>1050</v>
      </c>
      <c r="G1420" s="56" t="str">
        <f t="shared" ca="1" si="206"/>
        <v/>
      </c>
      <c r="H1420" s="28" t="str">
        <f t="shared" ca="1" si="207"/>
        <v/>
      </c>
      <c r="J1420" s="38" t="str">
        <f t="shared" si="201"/>
        <v xml:space="preserve"> </v>
      </c>
      <c r="K1420" s="39">
        <f t="shared" si="202"/>
        <v>0</v>
      </c>
      <c r="L1420" s="39" t="str">
        <f t="shared" si="203"/>
        <v/>
      </c>
      <c r="M1420" s="40" t="str">
        <f t="shared" si="208"/>
        <v xml:space="preserve"> </v>
      </c>
      <c r="N1420" s="41" t="str">
        <f t="shared" ca="1" si="209"/>
        <v/>
      </c>
      <c r="O1420" s="41" t="str">
        <f t="shared" si="204"/>
        <v xml:space="preserve"> </v>
      </c>
      <c r="P1420" s="60">
        <f t="shared" si="205"/>
        <v>0</v>
      </c>
      <c r="Q1420" s="61"/>
    </row>
    <row r="1421" spans="1:17" ht="13">
      <c r="A1421" s="28">
        <v>0</v>
      </c>
      <c r="B1421" s="28" t="s">
        <v>1053</v>
      </c>
      <c r="C1421" s="129" t="s">
        <v>1050</v>
      </c>
      <c r="D1421" s="128">
        <v>0</v>
      </c>
      <c r="E1421" s="128" t="s">
        <v>1050</v>
      </c>
      <c r="F1421" s="29" t="s">
        <v>1050</v>
      </c>
      <c r="G1421" s="56" t="str">
        <f t="shared" ca="1" si="206"/>
        <v/>
      </c>
      <c r="H1421" s="28" t="str">
        <f t="shared" ca="1" si="207"/>
        <v/>
      </c>
      <c r="J1421" s="38" t="str">
        <f t="shared" si="201"/>
        <v xml:space="preserve"> </v>
      </c>
      <c r="K1421" s="39">
        <f t="shared" si="202"/>
        <v>0</v>
      </c>
      <c r="L1421" s="39" t="str">
        <f t="shared" si="203"/>
        <v/>
      </c>
      <c r="M1421" s="40" t="str">
        <f t="shared" si="208"/>
        <v xml:space="preserve"> </v>
      </c>
      <c r="N1421" s="41" t="str">
        <f t="shared" ca="1" si="209"/>
        <v/>
      </c>
      <c r="O1421" s="41" t="str">
        <f t="shared" si="204"/>
        <v xml:space="preserve"> </v>
      </c>
      <c r="P1421" s="60">
        <f t="shared" si="205"/>
        <v>0</v>
      </c>
      <c r="Q1421" s="61"/>
    </row>
    <row r="1422" spans="1:17" ht="13">
      <c r="A1422" s="28">
        <v>0</v>
      </c>
      <c r="B1422" s="28" t="s">
        <v>1053</v>
      </c>
      <c r="C1422" s="129" t="s">
        <v>1050</v>
      </c>
      <c r="D1422" s="128">
        <v>0</v>
      </c>
      <c r="E1422" s="128" t="s">
        <v>1050</v>
      </c>
      <c r="F1422" s="29" t="s">
        <v>1050</v>
      </c>
      <c r="G1422" s="56" t="str">
        <f t="shared" ca="1" si="206"/>
        <v/>
      </c>
      <c r="H1422" s="28" t="str">
        <f t="shared" ca="1" si="207"/>
        <v/>
      </c>
      <c r="J1422" s="38" t="str">
        <f t="shared" si="201"/>
        <v xml:space="preserve"> </v>
      </c>
      <c r="K1422" s="39">
        <f t="shared" si="202"/>
        <v>0</v>
      </c>
      <c r="L1422" s="39" t="str">
        <f t="shared" si="203"/>
        <v/>
      </c>
      <c r="M1422" s="40" t="str">
        <f t="shared" si="208"/>
        <v xml:space="preserve"> </v>
      </c>
      <c r="N1422" s="41" t="str">
        <f t="shared" ca="1" si="209"/>
        <v/>
      </c>
      <c r="O1422" s="41" t="str">
        <f t="shared" si="204"/>
        <v xml:space="preserve"> </v>
      </c>
      <c r="P1422" s="60">
        <f t="shared" si="205"/>
        <v>0</v>
      </c>
      <c r="Q1422" s="61"/>
    </row>
    <row r="1423" spans="1:17" ht="13">
      <c r="A1423" s="28">
        <v>0</v>
      </c>
      <c r="B1423" s="28" t="s">
        <v>1053</v>
      </c>
      <c r="C1423" s="129" t="s">
        <v>1050</v>
      </c>
      <c r="D1423" s="128">
        <v>0</v>
      </c>
      <c r="E1423" s="128" t="s">
        <v>1050</v>
      </c>
      <c r="F1423" s="29" t="s">
        <v>1050</v>
      </c>
      <c r="G1423" s="56" t="str">
        <f t="shared" ca="1" si="206"/>
        <v/>
      </c>
      <c r="H1423" s="28" t="str">
        <f t="shared" ca="1" si="207"/>
        <v/>
      </c>
      <c r="J1423" s="38" t="str">
        <f t="shared" si="201"/>
        <v xml:space="preserve"> </v>
      </c>
      <c r="K1423" s="39">
        <f t="shared" si="202"/>
        <v>0</v>
      </c>
      <c r="L1423" s="39" t="str">
        <f t="shared" si="203"/>
        <v/>
      </c>
      <c r="M1423" s="40" t="str">
        <f t="shared" si="208"/>
        <v xml:space="preserve"> </v>
      </c>
      <c r="N1423" s="41" t="str">
        <f t="shared" ca="1" si="209"/>
        <v/>
      </c>
      <c r="O1423" s="41" t="str">
        <f t="shared" si="204"/>
        <v xml:space="preserve"> </v>
      </c>
      <c r="P1423" s="60">
        <f t="shared" si="205"/>
        <v>0</v>
      </c>
      <c r="Q1423" s="61"/>
    </row>
    <row r="1424" spans="1:17" ht="13">
      <c r="A1424" s="28">
        <v>0</v>
      </c>
      <c r="B1424" s="28" t="s">
        <v>1053</v>
      </c>
      <c r="C1424" s="129" t="s">
        <v>1050</v>
      </c>
      <c r="D1424" s="128">
        <v>0</v>
      </c>
      <c r="E1424" s="128" t="s">
        <v>1050</v>
      </c>
      <c r="F1424" s="29" t="s">
        <v>1050</v>
      </c>
      <c r="G1424" s="56" t="str">
        <f t="shared" ca="1" si="206"/>
        <v/>
      </c>
      <c r="H1424" s="28" t="str">
        <f t="shared" ca="1" si="207"/>
        <v/>
      </c>
      <c r="J1424" s="38" t="str">
        <f t="shared" si="201"/>
        <v xml:space="preserve"> </v>
      </c>
      <c r="K1424" s="39">
        <f t="shared" si="202"/>
        <v>0</v>
      </c>
      <c r="L1424" s="39" t="str">
        <f t="shared" si="203"/>
        <v/>
      </c>
      <c r="M1424" s="40" t="str">
        <f t="shared" si="208"/>
        <v xml:space="preserve"> </v>
      </c>
      <c r="N1424" s="41" t="str">
        <f t="shared" ca="1" si="209"/>
        <v/>
      </c>
      <c r="O1424" s="41" t="str">
        <f t="shared" si="204"/>
        <v xml:space="preserve"> </v>
      </c>
      <c r="P1424" s="60">
        <f t="shared" si="205"/>
        <v>0</v>
      </c>
      <c r="Q1424" s="61"/>
    </row>
    <row r="1425" spans="1:17" ht="13">
      <c r="A1425" s="28">
        <v>0</v>
      </c>
      <c r="B1425" s="28" t="s">
        <v>1053</v>
      </c>
      <c r="C1425" s="129" t="s">
        <v>1050</v>
      </c>
      <c r="D1425" s="128">
        <v>0</v>
      </c>
      <c r="E1425" s="128" t="s">
        <v>1050</v>
      </c>
      <c r="F1425" s="29" t="s">
        <v>1050</v>
      </c>
      <c r="G1425" s="56" t="str">
        <f t="shared" ca="1" si="206"/>
        <v/>
      </c>
      <c r="H1425" s="28" t="str">
        <f t="shared" ca="1" si="207"/>
        <v/>
      </c>
      <c r="J1425" s="38" t="str">
        <f t="shared" si="201"/>
        <v xml:space="preserve"> </v>
      </c>
      <c r="K1425" s="39">
        <f t="shared" si="202"/>
        <v>0</v>
      </c>
      <c r="L1425" s="39" t="str">
        <f t="shared" si="203"/>
        <v/>
      </c>
      <c r="M1425" s="40" t="str">
        <f t="shared" si="208"/>
        <v xml:space="preserve"> </v>
      </c>
      <c r="N1425" s="41" t="str">
        <f t="shared" ca="1" si="209"/>
        <v/>
      </c>
      <c r="O1425" s="41" t="str">
        <f t="shared" si="204"/>
        <v xml:space="preserve"> </v>
      </c>
      <c r="P1425" s="60">
        <f t="shared" si="205"/>
        <v>0</v>
      </c>
      <c r="Q1425" s="61"/>
    </row>
    <row r="1426" spans="1:17" ht="13">
      <c r="A1426" s="28">
        <v>0</v>
      </c>
      <c r="B1426" s="28" t="s">
        <v>1053</v>
      </c>
      <c r="C1426" s="129" t="s">
        <v>1050</v>
      </c>
      <c r="D1426" s="128">
        <v>0</v>
      </c>
      <c r="E1426" s="128" t="s">
        <v>1050</v>
      </c>
      <c r="F1426" s="29" t="s">
        <v>1050</v>
      </c>
      <c r="G1426" s="56" t="str">
        <f t="shared" ca="1" si="206"/>
        <v/>
      </c>
      <c r="H1426" s="28" t="str">
        <f t="shared" ca="1" si="207"/>
        <v/>
      </c>
      <c r="J1426" s="38" t="str">
        <f t="shared" si="201"/>
        <v xml:space="preserve"> </v>
      </c>
      <c r="K1426" s="39">
        <f t="shared" si="202"/>
        <v>0</v>
      </c>
      <c r="L1426" s="39" t="str">
        <f t="shared" si="203"/>
        <v/>
      </c>
      <c r="M1426" s="40" t="str">
        <f t="shared" si="208"/>
        <v xml:space="preserve"> </v>
      </c>
      <c r="N1426" s="41" t="str">
        <f t="shared" ca="1" si="209"/>
        <v/>
      </c>
      <c r="O1426" s="41" t="str">
        <f t="shared" si="204"/>
        <v xml:space="preserve"> </v>
      </c>
      <c r="P1426" s="60">
        <f t="shared" si="205"/>
        <v>0</v>
      </c>
      <c r="Q1426" s="61"/>
    </row>
    <row r="1427" spans="1:17" ht="13">
      <c r="A1427" s="28">
        <v>0</v>
      </c>
      <c r="B1427" s="28" t="s">
        <v>1053</v>
      </c>
      <c r="C1427" s="129" t="s">
        <v>1050</v>
      </c>
      <c r="D1427" s="128">
        <v>0</v>
      </c>
      <c r="E1427" s="128" t="s">
        <v>1050</v>
      </c>
      <c r="F1427" s="29" t="s">
        <v>1050</v>
      </c>
      <c r="G1427" s="56" t="str">
        <f t="shared" ca="1" si="206"/>
        <v/>
      </c>
      <c r="H1427" s="28" t="str">
        <f t="shared" ca="1" si="207"/>
        <v/>
      </c>
      <c r="J1427" s="38" t="str">
        <f t="shared" si="201"/>
        <v xml:space="preserve"> </v>
      </c>
      <c r="K1427" s="39">
        <f t="shared" si="202"/>
        <v>0</v>
      </c>
      <c r="L1427" s="39" t="str">
        <f t="shared" si="203"/>
        <v/>
      </c>
      <c r="M1427" s="40" t="str">
        <f t="shared" si="208"/>
        <v xml:space="preserve"> </v>
      </c>
      <c r="N1427" s="41" t="str">
        <f t="shared" ca="1" si="209"/>
        <v/>
      </c>
      <c r="O1427" s="41" t="str">
        <f t="shared" si="204"/>
        <v xml:space="preserve"> </v>
      </c>
      <c r="P1427" s="60">
        <f t="shared" si="205"/>
        <v>0</v>
      </c>
      <c r="Q1427" s="61"/>
    </row>
    <row r="1428" spans="1:17" ht="13">
      <c r="A1428" s="28">
        <v>0</v>
      </c>
      <c r="B1428" s="28" t="s">
        <v>1053</v>
      </c>
      <c r="C1428" s="129" t="s">
        <v>1050</v>
      </c>
      <c r="D1428" s="128">
        <v>0</v>
      </c>
      <c r="E1428" s="128" t="s">
        <v>1050</v>
      </c>
      <c r="F1428" s="29" t="s">
        <v>1050</v>
      </c>
      <c r="G1428" s="56" t="str">
        <f t="shared" ca="1" si="206"/>
        <v/>
      </c>
      <c r="H1428" s="28" t="str">
        <f t="shared" ca="1" si="207"/>
        <v/>
      </c>
      <c r="J1428" s="38" t="str">
        <f t="shared" si="201"/>
        <v xml:space="preserve"> </v>
      </c>
      <c r="K1428" s="39">
        <f t="shared" si="202"/>
        <v>0</v>
      </c>
      <c r="L1428" s="39" t="str">
        <f t="shared" si="203"/>
        <v/>
      </c>
      <c r="M1428" s="40" t="str">
        <f t="shared" si="208"/>
        <v xml:space="preserve"> </v>
      </c>
      <c r="N1428" s="41" t="str">
        <f t="shared" ca="1" si="209"/>
        <v/>
      </c>
      <c r="O1428" s="41" t="str">
        <f t="shared" si="204"/>
        <v xml:space="preserve"> </v>
      </c>
      <c r="P1428" s="60">
        <f t="shared" si="205"/>
        <v>0</v>
      </c>
      <c r="Q1428" s="61"/>
    </row>
    <row r="1429" spans="1:17" ht="13">
      <c r="A1429" s="28">
        <v>0</v>
      </c>
      <c r="B1429" s="28" t="s">
        <v>1053</v>
      </c>
      <c r="C1429" s="129" t="s">
        <v>1050</v>
      </c>
      <c r="D1429" s="128">
        <v>0</v>
      </c>
      <c r="E1429" s="128" t="s">
        <v>1050</v>
      </c>
      <c r="F1429" s="29" t="s">
        <v>1050</v>
      </c>
      <c r="G1429" s="56" t="str">
        <f t="shared" ca="1" si="206"/>
        <v/>
      </c>
      <c r="H1429" s="28" t="str">
        <f t="shared" ca="1" si="207"/>
        <v/>
      </c>
      <c r="J1429" s="38" t="str">
        <f t="shared" si="201"/>
        <v xml:space="preserve"> </v>
      </c>
      <c r="K1429" s="39">
        <f t="shared" si="202"/>
        <v>0</v>
      </c>
      <c r="L1429" s="39" t="str">
        <f t="shared" si="203"/>
        <v/>
      </c>
      <c r="M1429" s="40" t="str">
        <f t="shared" si="208"/>
        <v xml:space="preserve"> </v>
      </c>
      <c r="N1429" s="41" t="str">
        <f t="shared" ca="1" si="209"/>
        <v/>
      </c>
      <c r="O1429" s="41" t="str">
        <f t="shared" si="204"/>
        <v xml:space="preserve"> </v>
      </c>
      <c r="P1429" s="60">
        <f t="shared" si="205"/>
        <v>0</v>
      </c>
      <c r="Q1429" s="61"/>
    </row>
    <row r="1430" spans="1:17" ht="13">
      <c r="A1430" s="28">
        <v>0</v>
      </c>
      <c r="B1430" s="28" t="s">
        <v>1053</v>
      </c>
      <c r="C1430" s="129" t="s">
        <v>1050</v>
      </c>
      <c r="D1430" s="128">
        <v>0</v>
      </c>
      <c r="E1430" s="128" t="s">
        <v>1050</v>
      </c>
      <c r="F1430" s="29" t="s">
        <v>1050</v>
      </c>
      <c r="G1430" s="56" t="str">
        <f t="shared" ca="1" si="206"/>
        <v/>
      </c>
      <c r="H1430" s="28" t="str">
        <f t="shared" ca="1" si="207"/>
        <v/>
      </c>
      <c r="J1430" s="38" t="str">
        <f t="shared" si="201"/>
        <v xml:space="preserve"> </v>
      </c>
      <c r="K1430" s="39">
        <f t="shared" si="202"/>
        <v>0</v>
      </c>
      <c r="L1430" s="39" t="str">
        <f t="shared" si="203"/>
        <v/>
      </c>
      <c r="M1430" s="40" t="str">
        <f t="shared" si="208"/>
        <v xml:space="preserve"> </v>
      </c>
      <c r="N1430" s="41" t="str">
        <f t="shared" ca="1" si="209"/>
        <v/>
      </c>
      <c r="O1430" s="41" t="str">
        <f t="shared" si="204"/>
        <v xml:space="preserve"> </v>
      </c>
      <c r="P1430" s="60">
        <f t="shared" si="205"/>
        <v>0</v>
      </c>
      <c r="Q1430" s="61"/>
    </row>
    <row r="1431" spans="1:17" ht="13">
      <c r="A1431" s="28">
        <v>0</v>
      </c>
      <c r="B1431" s="28" t="s">
        <v>1053</v>
      </c>
      <c r="C1431" s="129" t="s">
        <v>1050</v>
      </c>
      <c r="D1431" s="128">
        <v>0</v>
      </c>
      <c r="E1431" s="128" t="s">
        <v>1050</v>
      </c>
      <c r="F1431" s="29" t="s">
        <v>1050</v>
      </c>
      <c r="G1431" s="56" t="str">
        <f t="shared" ca="1" si="206"/>
        <v/>
      </c>
      <c r="H1431" s="28" t="str">
        <f t="shared" ca="1" si="207"/>
        <v/>
      </c>
      <c r="J1431" s="38" t="str">
        <f t="shared" si="201"/>
        <v xml:space="preserve"> </v>
      </c>
      <c r="K1431" s="39">
        <f t="shared" si="202"/>
        <v>0</v>
      </c>
      <c r="L1431" s="39" t="str">
        <f t="shared" si="203"/>
        <v/>
      </c>
      <c r="M1431" s="40" t="str">
        <f t="shared" si="208"/>
        <v xml:space="preserve"> </v>
      </c>
      <c r="N1431" s="41" t="str">
        <f t="shared" ca="1" si="209"/>
        <v/>
      </c>
      <c r="O1431" s="41" t="str">
        <f t="shared" si="204"/>
        <v xml:space="preserve"> </v>
      </c>
      <c r="P1431" s="60">
        <f t="shared" si="205"/>
        <v>0</v>
      </c>
      <c r="Q1431" s="61"/>
    </row>
    <row r="1432" spans="1:17" ht="13">
      <c r="A1432" s="28">
        <v>0</v>
      </c>
      <c r="B1432" s="28" t="s">
        <v>1053</v>
      </c>
      <c r="C1432" s="129" t="s">
        <v>1050</v>
      </c>
      <c r="D1432" s="128">
        <v>0</v>
      </c>
      <c r="E1432" s="128" t="s">
        <v>1050</v>
      </c>
      <c r="F1432" s="29" t="s">
        <v>1050</v>
      </c>
      <c r="G1432" s="56" t="str">
        <f t="shared" ca="1" si="206"/>
        <v/>
      </c>
      <c r="H1432" s="28" t="str">
        <f t="shared" ca="1" si="207"/>
        <v/>
      </c>
      <c r="J1432" s="38" t="str">
        <f t="shared" si="201"/>
        <v xml:space="preserve"> </v>
      </c>
      <c r="K1432" s="39">
        <f t="shared" si="202"/>
        <v>0</v>
      </c>
      <c r="L1432" s="39" t="str">
        <f t="shared" si="203"/>
        <v/>
      </c>
      <c r="M1432" s="40" t="str">
        <f t="shared" si="208"/>
        <v xml:space="preserve"> </v>
      </c>
      <c r="N1432" s="41" t="str">
        <f t="shared" ca="1" si="209"/>
        <v/>
      </c>
      <c r="O1432" s="41" t="str">
        <f t="shared" si="204"/>
        <v xml:space="preserve"> </v>
      </c>
      <c r="P1432" s="60">
        <f t="shared" si="205"/>
        <v>0</v>
      </c>
      <c r="Q1432" s="61"/>
    </row>
    <row r="1433" spans="1:17" ht="13">
      <c r="A1433" s="28">
        <v>0</v>
      </c>
      <c r="B1433" s="28" t="s">
        <v>1053</v>
      </c>
      <c r="C1433" s="129" t="s">
        <v>1050</v>
      </c>
      <c r="D1433" s="128">
        <v>0</v>
      </c>
      <c r="E1433" s="128" t="s">
        <v>1050</v>
      </c>
      <c r="F1433" s="29" t="s">
        <v>1050</v>
      </c>
      <c r="G1433" s="56" t="str">
        <f t="shared" ca="1" si="206"/>
        <v/>
      </c>
      <c r="H1433" s="28" t="str">
        <f t="shared" ca="1" si="207"/>
        <v/>
      </c>
      <c r="J1433" s="38" t="str">
        <f t="shared" si="201"/>
        <v xml:space="preserve"> </v>
      </c>
      <c r="K1433" s="39">
        <f t="shared" si="202"/>
        <v>0</v>
      </c>
      <c r="L1433" s="39" t="str">
        <f t="shared" si="203"/>
        <v/>
      </c>
      <c r="M1433" s="40" t="str">
        <f t="shared" si="208"/>
        <v xml:space="preserve"> </v>
      </c>
      <c r="N1433" s="41" t="str">
        <f t="shared" ca="1" si="209"/>
        <v/>
      </c>
      <c r="O1433" s="41" t="str">
        <f t="shared" si="204"/>
        <v xml:space="preserve"> </v>
      </c>
      <c r="P1433" s="60">
        <f t="shared" si="205"/>
        <v>0</v>
      </c>
      <c r="Q1433" s="61"/>
    </row>
    <row r="1434" spans="1:17" ht="13">
      <c r="A1434" s="28">
        <v>0</v>
      </c>
      <c r="B1434" s="28" t="s">
        <v>1053</v>
      </c>
      <c r="C1434" s="129" t="s">
        <v>1050</v>
      </c>
      <c r="D1434" s="128">
        <v>0</v>
      </c>
      <c r="E1434" s="128" t="s">
        <v>1050</v>
      </c>
      <c r="F1434" s="29" t="s">
        <v>1050</v>
      </c>
      <c r="G1434" s="56" t="str">
        <f t="shared" ca="1" si="206"/>
        <v/>
      </c>
      <c r="H1434" s="28" t="str">
        <f t="shared" ca="1" si="207"/>
        <v/>
      </c>
      <c r="J1434" s="38" t="str">
        <f t="shared" si="201"/>
        <v xml:space="preserve"> </v>
      </c>
      <c r="K1434" s="39">
        <f t="shared" si="202"/>
        <v>0</v>
      </c>
      <c r="L1434" s="39" t="str">
        <f t="shared" si="203"/>
        <v/>
      </c>
      <c r="M1434" s="40" t="str">
        <f t="shared" si="208"/>
        <v xml:space="preserve"> </v>
      </c>
      <c r="N1434" s="41" t="str">
        <f t="shared" ca="1" si="209"/>
        <v/>
      </c>
      <c r="O1434" s="41" t="str">
        <f t="shared" si="204"/>
        <v xml:space="preserve"> </v>
      </c>
      <c r="P1434" s="60">
        <f t="shared" si="205"/>
        <v>0</v>
      </c>
      <c r="Q1434" s="61"/>
    </row>
    <row r="1435" spans="1:17" ht="13">
      <c r="A1435" s="28">
        <v>0</v>
      </c>
      <c r="B1435" s="28" t="s">
        <v>1053</v>
      </c>
      <c r="C1435" s="129" t="s">
        <v>1050</v>
      </c>
      <c r="D1435" s="128">
        <v>0</v>
      </c>
      <c r="E1435" s="128" t="s">
        <v>1050</v>
      </c>
      <c r="F1435" s="29" t="s">
        <v>1050</v>
      </c>
      <c r="G1435" s="56" t="str">
        <f t="shared" ca="1" si="206"/>
        <v/>
      </c>
      <c r="H1435" s="28" t="str">
        <f t="shared" ca="1" si="207"/>
        <v/>
      </c>
      <c r="J1435" s="38" t="str">
        <f t="shared" si="201"/>
        <v xml:space="preserve"> </v>
      </c>
      <c r="K1435" s="39">
        <f t="shared" si="202"/>
        <v>0</v>
      </c>
      <c r="L1435" s="39" t="str">
        <f t="shared" si="203"/>
        <v/>
      </c>
      <c r="M1435" s="40" t="str">
        <f t="shared" si="208"/>
        <v xml:space="preserve"> </v>
      </c>
      <c r="N1435" s="41" t="str">
        <f t="shared" ca="1" si="209"/>
        <v/>
      </c>
      <c r="O1435" s="41" t="str">
        <f t="shared" si="204"/>
        <v xml:space="preserve"> </v>
      </c>
      <c r="P1435" s="60">
        <f t="shared" si="205"/>
        <v>0</v>
      </c>
      <c r="Q1435" s="61"/>
    </row>
    <row r="1436" spans="1:17" ht="13">
      <c r="A1436" s="28">
        <v>0</v>
      </c>
      <c r="B1436" s="28" t="s">
        <v>1053</v>
      </c>
      <c r="C1436" s="129" t="s">
        <v>1050</v>
      </c>
      <c r="D1436" s="128">
        <v>0</v>
      </c>
      <c r="E1436" s="128" t="s">
        <v>1050</v>
      </c>
      <c r="F1436" s="29" t="s">
        <v>1050</v>
      </c>
      <c r="G1436" s="56" t="str">
        <f t="shared" ca="1" si="206"/>
        <v/>
      </c>
      <c r="H1436" s="28" t="str">
        <f t="shared" ca="1" si="207"/>
        <v/>
      </c>
      <c r="J1436" s="38" t="str">
        <f t="shared" si="201"/>
        <v xml:space="preserve"> </v>
      </c>
      <c r="K1436" s="39">
        <f t="shared" si="202"/>
        <v>0</v>
      </c>
      <c r="L1436" s="39" t="str">
        <f t="shared" si="203"/>
        <v/>
      </c>
      <c r="M1436" s="40" t="str">
        <f t="shared" si="208"/>
        <v xml:space="preserve"> </v>
      </c>
      <c r="N1436" s="41" t="str">
        <f t="shared" ca="1" si="209"/>
        <v/>
      </c>
      <c r="O1436" s="41" t="str">
        <f t="shared" si="204"/>
        <v xml:space="preserve"> </v>
      </c>
      <c r="P1436" s="60">
        <f t="shared" si="205"/>
        <v>0</v>
      </c>
      <c r="Q1436" s="61"/>
    </row>
    <row r="1437" spans="1:17" ht="13">
      <c r="A1437" s="28">
        <v>0</v>
      </c>
      <c r="B1437" s="28" t="s">
        <v>1053</v>
      </c>
      <c r="C1437" s="129" t="s">
        <v>1050</v>
      </c>
      <c r="D1437" s="128">
        <v>0</v>
      </c>
      <c r="E1437" s="128" t="s">
        <v>1050</v>
      </c>
      <c r="F1437" s="29" t="s">
        <v>1050</v>
      </c>
      <c r="G1437" s="56" t="str">
        <f t="shared" ca="1" si="206"/>
        <v/>
      </c>
      <c r="H1437" s="28" t="str">
        <f t="shared" ca="1" si="207"/>
        <v/>
      </c>
      <c r="J1437" s="38" t="str">
        <f t="shared" si="201"/>
        <v xml:space="preserve"> </v>
      </c>
      <c r="K1437" s="39">
        <f t="shared" si="202"/>
        <v>0</v>
      </c>
      <c r="L1437" s="39" t="str">
        <f t="shared" si="203"/>
        <v/>
      </c>
      <c r="M1437" s="40" t="str">
        <f t="shared" si="208"/>
        <v xml:space="preserve"> </v>
      </c>
      <c r="N1437" s="41" t="str">
        <f t="shared" ca="1" si="209"/>
        <v/>
      </c>
      <c r="O1437" s="41" t="str">
        <f t="shared" si="204"/>
        <v xml:space="preserve"> </v>
      </c>
      <c r="P1437" s="60">
        <f t="shared" si="205"/>
        <v>0</v>
      </c>
      <c r="Q1437" s="61"/>
    </row>
    <row r="1438" spans="1:17" ht="13">
      <c r="A1438" s="28">
        <v>0</v>
      </c>
      <c r="B1438" s="28" t="s">
        <v>1053</v>
      </c>
      <c r="C1438" s="129" t="s">
        <v>1050</v>
      </c>
      <c r="D1438" s="128">
        <v>0</v>
      </c>
      <c r="E1438" s="128" t="s">
        <v>1050</v>
      </c>
      <c r="F1438" s="29" t="s">
        <v>1050</v>
      </c>
      <c r="G1438" s="56" t="str">
        <f t="shared" ca="1" si="206"/>
        <v/>
      </c>
      <c r="H1438" s="28" t="str">
        <f t="shared" ca="1" si="207"/>
        <v/>
      </c>
      <c r="J1438" s="38" t="str">
        <f t="shared" si="201"/>
        <v xml:space="preserve"> </v>
      </c>
      <c r="K1438" s="39">
        <f t="shared" si="202"/>
        <v>0</v>
      </c>
      <c r="L1438" s="39" t="str">
        <f t="shared" si="203"/>
        <v/>
      </c>
      <c r="M1438" s="40" t="str">
        <f t="shared" si="208"/>
        <v xml:space="preserve"> </v>
      </c>
      <c r="N1438" s="41" t="str">
        <f t="shared" ca="1" si="209"/>
        <v/>
      </c>
      <c r="O1438" s="41" t="str">
        <f t="shared" si="204"/>
        <v xml:space="preserve"> </v>
      </c>
      <c r="P1438" s="60">
        <f t="shared" si="205"/>
        <v>0</v>
      </c>
      <c r="Q1438" s="61"/>
    </row>
    <row r="1439" spans="1:17" ht="13">
      <c r="A1439" s="28">
        <v>0</v>
      </c>
      <c r="B1439" s="28" t="s">
        <v>1053</v>
      </c>
      <c r="C1439" s="129" t="s">
        <v>1050</v>
      </c>
      <c r="D1439" s="128">
        <v>0</v>
      </c>
      <c r="E1439" s="128" t="s">
        <v>1050</v>
      </c>
      <c r="F1439" s="29" t="s">
        <v>1050</v>
      </c>
      <c r="G1439" s="56" t="str">
        <f t="shared" ca="1" si="206"/>
        <v/>
      </c>
      <c r="H1439" s="28" t="str">
        <f t="shared" ca="1" si="207"/>
        <v/>
      </c>
      <c r="J1439" s="38" t="str">
        <f t="shared" si="201"/>
        <v xml:space="preserve"> </v>
      </c>
      <c r="K1439" s="39">
        <f t="shared" si="202"/>
        <v>0</v>
      </c>
      <c r="L1439" s="39" t="str">
        <f t="shared" si="203"/>
        <v/>
      </c>
      <c r="M1439" s="40" t="str">
        <f t="shared" si="208"/>
        <v xml:space="preserve"> </v>
      </c>
      <c r="N1439" s="41" t="str">
        <f t="shared" ca="1" si="209"/>
        <v/>
      </c>
      <c r="O1439" s="41" t="str">
        <f t="shared" si="204"/>
        <v xml:space="preserve"> </v>
      </c>
      <c r="P1439" s="60">
        <f t="shared" si="205"/>
        <v>0</v>
      </c>
      <c r="Q1439" s="61"/>
    </row>
    <row r="1440" spans="1:17" ht="13">
      <c r="A1440" s="28">
        <v>0</v>
      </c>
      <c r="B1440" s="28" t="s">
        <v>1053</v>
      </c>
      <c r="C1440" s="129" t="s">
        <v>1050</v>
      </c>
      <c r="D1440" s="128">
        <v>0</v>
      </c>
      <c r="E1440" s="128" t="s">
        <v>1050</v>
      </c>
      <c r="F1440" s="29" t="s">
        <v>1050</v>
      </c>
      <c r="G1440" s="56" t="str">
        <f t="shared" ca="1" si="206"/>
        <v/>
      </c>
      <c r="H1440" s="28" t="str">
        <f t="shared" ca="1" si="207"/>
        <v/>
      </c>
      <c r="J1440" s="38" t="str">
        <f t="shared" si="201"/>
        <v xml:space="preserve"> </v>
      </c>
      <c r="K1440" s="39">
        <f t="shared" si="202"/>
        <v>0</v>
      </c>
      <c r="L1440" s="39" t="str">
        <f t="shared" si="203"/>
        <v/>
      </c>
      <c r="M1440" s="40" t="str">
        <f t="shared" si="208"/>
        <v xml:space="preserve"> </v>
      </c>
      <c r="N1440" s="41" t="str">
        <f t="shared" ca="1" si="209"/>
        <v/>
      </c>
      <c r="O1440" s="41" t="str">
        <f t="shared" si="204"/>
        <v xml:space="preserve"> </v>
      </c>
      <c r="P1440" s="60">
        <f t="shared" si="205"/>
        <v>0</v>
      </c>
      <c r="Q1440" s="61"/>
    </row>
    <row r="1441" spans="1:17" ht="13">
      <c r="A1441" s="28">
        <v>0</v>
      </c>
      <c r="B1441" s="28" t="s">
        <v>1053</v>
      </c>
      <c r="C1441" s="129" t="s">
        <v>1050</v>
      </c>
      <c r="D1441" s="128">
        <v>0</v>
      </c>
      <c r="E1441" s="128" t="s">
        <v>1050</v>
      </c>
      <c r="F1441" s="29" t="s">
        <v>1050</v>
      </c>
      <c r="G1441" s="56" t="str">
        <f t="shared" ca="1" si="206"/>
        <v/>
      </c>
      <c r="H1441" s="28" t="str">
        <f t="shared" ca="1" si="207"/>
        <v/>
      </c>
      <c r="J1441" s="38" t="str">
        <f t="shared" si="201"/>
        <v xml:space="preserve"> </v>
      </c>
      <c r="K1441" s="39">
        <f t="shared" si="202"/>
        <v>0</v>
      </c>
      <c r="L1441" s="39" t="str">
        <f t="shared" si="203"/>
        <v/>
      </c>
      <c r="M1441" s="40" t="str">
        <f t="shared" si="208"/>
        <v xml:space="preserve"> </v>
      </c>
      <c r="N1441" s="41" t="str">
        <f t="shared" ca="1" si="209"/>
        <v/>
      </c>
      <c r="O1441" s="41" t="str">
        <f t="shared" si="204"/>
        <v xml:space="preserve"> </v>
      </c>
      <c r="P1441" s="60">
        <f t="shared" si="205"/>
        <v>0</v>
      </c>
      <c r="Q1441" s="61"/>
    </row>
    <row r="1442" spans="1:17" ht="13">
      <c r="A1442" s="28">
        <v>0</v>
      </c>
      <c r="B1442" s="28" t="s">
        <v>1053</v>
      </c>
      <c r="C1442" s="129" t="s">
        <v>1050</v>
      </c>
      <c r="D1442" s="128">
        <v>0</v>
      </c>
      <c r="E1442" s="128" t="s">
        <v>1050</v>
      </c>
      <c r="F1442" s="29" t="s">
        <v>1050</v>
      </c>
      <c r="G1442" s="56" t="str">
        <f t="shared" ca="1" si="206"/>
        <v/>
      </c>
      <c r="H1442" s="28" t="str">
        <f t="shared" ca="1" si="207"/>
        <v/>
      </c>
      <c r="J1442" s="38" t="str">
        <f t="shared" si="201"/>
        <v xml:space="preserve"> </v>
      </c>
      <c r="K1442" s="39">
        <f t="shared" si="202"/>
        <v>0</v>
      </c>
      <c r="L1442" s="39" t="str">
        <f t="shared" si="203"/>
        <v/>
      </c>
      <c r="M1442" s="40" t="str">
        <f t="shared" si="208"/>
        <v xml:space="preserve"> </v>
      </c>
      <c r="N1442" s="41" t="str">
        <f t="shared" ca="1" si="209"/>
        <v/>
      </c>
      <c r="O1442" s="41" t="str">
        <f t="shared" si="204"/>
        <v xml:space="preserve"> </v>
      </c>
      <c r="P1442" s="60">
        <f t="shared" si="205"/>
        <v>0</v>
      </c>
      <c r="Q1442" s="61"/>
    </row>
    <row r="1443" spans="1:17" ht="13">
      <c r="A1443" s="28">
        <v>0</v>
      </c>
      <c r="B1443" s="28" t="s">
        <v>1053</v>
      </c>
      <c r="C1443" s="129" t="s">
        <v>1050</v>
      </c>
      <c r="D1443" s="128">
        <v>0</v>
      </c>
      <c r="E1443" s="128" t="s">
        <v>1050</v>
      </c>
      <c r="F1443" s="29" t="s">
        <v>1050</v>
      </c>
      <c r="G1443" s="56" t="str">
        <f t="shared" ca="1" si="206"/>
        <v/>
      </c>
      <c r="H1443" s="28" t="str">
        <f t="shared" ca="1" si="207"/>
        <v/>
      </c>
      <c r="J1443" s="38" t="str">
        <f t="shared" si="201"/>
        <v xml:space="preserve"> </v>
      </c>
      <c r="K1443" s="39">
        <f t="shared" si="202"/>
        <v>0</v>
      </c>
      <c r="L1443" s="39" t="str">
        <f t="shared" si="203"/>
        <v/>
      </c>
      <c r="M1443" s="40" t="str">
        <f t="shared" si="208"/>
        <v xml:space="preserve"> </v>
      </c>
      <c r="N1443" s="41" t="str">
        <f t="shared" ca="1" si="209"/>
        <v/>
      </c>
      <c r="O1443" s="41" t="str">
        <f t="shared" si="204"/>
        <v xml:space="preserve"> </v>
      </c>
      <c r="P1443" s="60">
        <f t="shared" si="205"/>
        <v>0</v>
      </c>
      <c r="Q1443" s="61"/>
    </row>
    <row r="1444" spans="1:17" ht="13">
      <c r="A1444" s="28">
        <v>0</v>
      </c>
      <c r="B1444" s="28" t="s">
        <v>1053</v>
      </c>
      <c r="C1444" s="129" t="s">
        <v>1050</v>
      </c>
      <c r="D1444" s="128">
        <v>0</v>
      </c>
      <c r="E1444" s="128" t="s">
        <v>1050</v>
      </c>
      <c r="F1444" s="29" t="s">
        <v>1050</v>
      </c>
      <c r="G1444" s="56" t="str">
        <f t="shared" ca="1" si="206"/>
        <v/>
      </c>
      <c r="H1444" s="28" t="str">
        <f t="shared" ca="1" si="207"/>
        <v/>
      </c>
      <c r="J1444" s="38" t="str">
        <f t="shared" si="201"/>
        <v xml:space="preserve"> </v>
      </c>
      <c r="K1444" s="39">
        <f t="shared" si="202"/>
        <v>0</v>
      </c>
      <c r="L1444" s="39" t="str">
        <f t="shared" si="203"/>
        <v/>
      </c>
      <c r="M1444" s="40" t="str">
        <f t="shared" si="208"/>
        <v xml:space="preserve"> </v>
      </c>
      <c r="N1444" s="41" t="str">
        <f t="shared" ca="1" si="209"/>
        <v/>
      </c>
      <c r="O1444" s="41" t="str">
        <f t="shared" si="204"/>
        <v xml:space="preserve"> </v>
      </c>
      <c r="P1444" s="60">
        <f t="shared" si="205"/>
        <v>0</v>
      </c>
      <c r="Q1444" s="61"/>
    </row>
    <row r="1445" spans="1:17" ht="13">
      <c r="A1445" s="28">
        <v>0</v>
      </c>
      <c r="B1445" s="28" t="s">
        <v>1053</v>
      </c>
      <c r="C1445" s="129" t="s">
        <v>1050</v>
      </c>
      <c r="D1445" s="128">
        <v>0</v>
      </c>
      <c r="E1445" s="128" t="s">
        <v>1050</v>
      </c>
      <c r="F1445" s="29" t="s">
        <v>1050</v>
      </c>
      <c r="G1445" s="56" t="str">
        <f t="shared" ca="1" si="206"/>
        <v/>
      </c>
      <c r="H1445" s="28" t="str">
        <f t="shared" ca="1" si="207"/>
        <v/>
      </c>
      <c r="J1445" s="38" t="str">
        <f t="shared" si="201"/>
        <v xml:space="preserve"> </v>
      </c>
      <c r="K1445" s="39">
        <f t="shared" si="202"/>
        <v>0</v>
      </c>
      <c r="L1445" s="39" t="str">
        <f t="shared" si="203"/>
        <v/>
      </c>
      <c r="M1445" s="40" t="str">
        <f t="shared" si="208"/>
        <v xml:space="preserve"> </v>
      </c>
      <c r="N1445" s="41" t="str">
        <f t="shared" ca="1" si="209"/>
        <v/>
      </c>
      <c r="O1445" s="41" t="str">
        <f t="shared" si="204"/>
        <v xml:space="preserve"> </v>
      </c>
      <c r="P1445" s="60">
        <f t="shared" si="205"/>
        <v>0</v>
      </c>
      <c r="Q1445" s="61"/>
    </row>
    <row r="1446" spans="1:17" ht="13">
      <c r="A1446" s="28">
        <v>0</v>
      </c>
      <c r="B1446" s="28" t="s">
        <v>1053</v>
      </c>
      <c r="C1446" s="129" t="s">
        <v>1050</v>
      </c>
      <c r="D1446" s="128">
        <v>0</v>
      </c>
      <c r="E1446" s="128" t="s">
        <v>1050</v>
      </c>
      <c r="F1446" s="29" t="s">
        <v>1050</v>
      </c>
      <c r="G1446" s="56" t="str">
        <f t="shared" ca="1" si="206"/>
        <v/>
      </c>
      <c r="H1446" s="28" t="str">
        <f t="shared" ca="1" si="207"/>
        <v/>
      </c>
      <c r="J1446" s="38" t="str">
        <f t="shared" si="201"/>
        <v xml:space="preserve"> </v>
      </c>
      <c r="K1446" s="39">
        <f t="shared" si="202"/>
        <v>0</v>
      </c>
      <c r="L1446" s="39" t="str">
        <f t="shared" si="203"/>
        <v/>
      </c>
      <c r="M1446" s="40" t="str">
        <f t="shared" si="208"/>
        <v xml:space="preserve"> </v>
      </c>
      <c r="N1446" s="41" t="str">
        <f t="shared" ca="1" si="209"/>
        <v/>
      </c>
      <c r="O1446" s="41" t="str">
        <f t="shared" si="204"/>
        <v xml:space="preserve"> </v>
      </c>
      <c r="P1446" s="60">
        <f t="shared" si="205"/>
        <v>0</v>
      </c>
      <c r="Q1446" s="61"/>
    </row>
    <row r="1447" spans="1:17" ht="13">
      <c r="A1447" s="28">
        <v>0</v>
      </c>
      <c r="B1447" s="28" t="s">
        <v>1053</v>
      </c>
      <c r="C1447" s="129" t="s">
        <v>1050</v>
      </c>
      <c r="D1447" s="128">
        <v>0</v>
      </c>
      <c r="E1447" s="128" t="s">
        <v>1050</v>
      </c>
      <c r="F1447" s="29" t="s">
        <v>1050</v>
      </c>
      <c r="G1447" s="56" t="str">
        <f t="shared" ca="1" si="206"/>
        <v/>
      </c>
      <c r="H1447" s="28" t="str">
        <f t="shared" ca="1" si="207"/>
        <v/>
      </c>
      <c r="J1447" s="38" t="str">
        <f t="shared" si="201"/>
        <v xml:space="preserve"> </v>
      </c>
      <c r="K1447" s="39">
        <f t="shared" si="202"/>
        <v>0</v>
      </c>
      <c r="L1447" s="39" t="str">
        <f t="shared" si="203"/>
        <v/>
      </c>
      <c r="M1447" s="40" t="str">
        <f t="shared" si="208"/>
        <v xml:space="preserve"> </v>
      </c>
      <c r="N1447" s="41" t="str">
        <f t="shared" ca="1" si="209"/>
        <v/>
      </c>
      <c r="O1447" s="41" t="str">
        <f t="shared" si="204"/>
        <v xml:space="preserve"> </v>
      </c>
      <c r="P1447" s="60">
        <f t="shared" si="205"/>
        <v>0</v>
      </c>
      <c r="Q1447" s="61"/>
    </row>
    <row r="1448" spans="1:17" ht="13">
      <c r="A1448" s="28">
        <v>0</v>
      </c>
      <c r="B1448" s="28" t="s">
        <v>1053</v>
      </c>
      <c r="C1448" s="129" t="s">
        <v>1050</v>
      </c>
      <c r="D1448" s="128">
        <v>0</v>
      </c>
      <c r="E1448" s="128" t="s">
        <v>1050</v>
      </c>
      <c r="F1448" s="29" t="s">
        <v>1050</v>
      </c>
      <c r="G1448" s="56" t="str">
        <f t="shared" ca="1" si="206"/>
        <v/>
      </c>
      <c r="H1448" s="28" t="str">
        <f t="shared" ca="1" si="207"/>
        <v/>
      </c>
      <c r="J1448" s="38" t="str">
        <f t="shared" si="201"/>
        <v xml:space="preserve"> </v>
      </c>
      <c r="K1448" s="39">
        <f t="shared" si="202"/>
        <v>0</v>
      </c>
      <c r="L1448" s="39" t="str">
        <f t="shared" si="203"/>
        <v/>
      </c>
      <c r="M1448" s="40" t="str">
        <f t="shared" si="208"/>
        <v xml:space="preserve"> </v>
      </c>
      <c r="N1448" s="41" t="str">
        <f t="shared" ca="1" si="209"/>
        <v/>
      </c>
      <c r="O1448" s="41" t="str">
        <f t="shared" si="204"/>
        <v xml:space="preserve"> </v>
      </c>
      <c r="P1448" s="60">
        <f t="shared" si="205"/>
        <v>0</v>
      </c>
      <c r="Q1448" s="61"/>
    </row>
    <row r="1449" spans="1:17" ht="13">
      <c r="A1449" s="28">
        <v>0</v>
      </c>
      <c r="B1449" s="28" t="s">
        <v>1053</v>
      </c>
      <c r="C1449" s="129" t="s">
        <v>1050</v>
      </c>
      <c r="D1449" s="128">
        <v>0</v>
      </c>
      <c r="E1449" s="128" t="s">
        <v>1050</v>
      </c>
      <c r="F1449" s="29" t="s">
        <v>1050</v>
      </c>
      <c r="G1449" s="56" t="str">
        <f t="shared" ca="1" si="206"/>
        <v/>
      </c>
      <c r="H1449" s="28" t="str">
        <f t="shared" ca="1" si="207"/>
        <v/>
      </c>
      <c r="J1449" s="38" t="str">
        <f t="shared" si="201"/>
        <v xml:space="preserve"> </v>
      </c>
      <c r="K1449" s="39">
        <f t="shared" si="202"/>
        <v>0</v>
      </c>
      <c r="L1449" s="39" t="str">
        <f t="shared" si="203"/>
        <v/>
      </c>
      <c r="M1449" s="40" t="str">
        <f t="shared" si="208"/>
        <v xml:space="preserve"> </v>
      </c>
      <c r="N1449" s="41" t="str">
        <f t="shared" ca="1" si="209"/>
        <v/>
      </c>
      <c r="O1449" s="41" t="str">
        <f t="shared" si="204"/>
        <v xml:space="preserve"> </v>
      </c>
      <c r="P1449" s="60">
        <f t="shared" si="205"/>
        <v>0</v>
      </c>
      <c r="Q1449" s="61"/>
    </row>
    <row r="1450" spans="1:17" ht="13">
      <c r="A1450" s="28">
        <v>0</v>
      </c>
      <c r="B1450" s="28" t="s">
        <v>1053</v>
      </c>
      <c r="C1450" s="129" t="s">
        <v>1050</v>
      </c>
      <c r="D1450" s="128">
        <v>0</v>
      </c>
      <c r="E1450" s="128" t="s">
        <v>1050</v>
      </c>
      <c r="F1450" s="29" t="s">
        <v>1050</v>
      </c>
      <c r="G1450" s="56" t="str">
        <f t="shared" ca="1" si="206"/>
        <v/>
      </c>
      <c r="H1450" s="28" t="str">
        <f t="shared" ca="1" si="207"/>
        <v/>
      </c>
      <c r="J1450" s="38" t="str">
        <f t="shared" si="201"/>
        <v xml:space="preserve"> </v>
      </c>
      <c r="K1450" s="39">
        <f t="shared" si="202"/>
        <v>0</v>
      </c>
      <c r="L1450" s="39" t="str">
        <f t="shared" si="203"/>
        <v/>
      </c>
      <c r="M1450" s="40" t="str">
        <f t="shared" si="208"/>
        <v xml:space="preserve"> </v>
      </c>
      <c r="N1450" s="41" t="str">
        <f t="shared" ca="1" si="209"/>
        <v/>
      </c>
      <c r="O1450" s="41" t="str">
        <f t="shared" si="204"/>
        <v xml:space="preserve"> </v>
      </c>
      <c r="P1450" s="60">
        <f t="shared" si="205"/>
        <v>0</v>
      </c>
      <c r="Q1450" s="61"/>
    </row>
    <row r="1451" spans="1:17" ht="13">
      <c r="A1451" s="28">
        <v>0</v>
      </c>
      <c r="B1451" s="28" t="s">
        <v>1053</v>
      </c>
      <c r="C1451" s="129" t="s">
        <v>1050</v>
      </c>
      <c r="D1451" s="128">
        <v>0</v>
      </c>
      <c r="E1451" s="128" t="s">
        <v>1050</v>
      </c>
      <c r="F1451" s="29" t="s">
        <v>1050</v>
      </c>
      <c r="G1451" s="56" t="str">
        <f t="shared" ca="1" si="206"/>
        <v/>
      </c>
      <c r="H1451" s="28" t="str">
        <f t="shared" ca="1" si="207"/>
        <v/>
      </c>
      <c r="J1451" s="38" t="str">
        <f t="shared" si="201"/>
        <v xml:space="preserve"> </v>
      </c>
      <c r="K1451" s="39">
        <f t="shared" si="202"/>
        <v>0</v>
      </c>
      <c r="L1451" s="39" t="str">
        <f t="shared" si="203"/>
        <v/>
      </c>
      <c r="M1451" s="40" t="str">
        <f t="shared" si="208"/>
        <v xml:space="preserve"> </v>
      </c>
      <c r="N1451" s="41" t="str">
        <f t="shared" ca="1" si="209"/>
        <v/>
      </c>
      <c r="O1451" s="41" t="str">
        <f t="shared" si="204"/>
        <v xml:space="preserve"> </v>
      </c>
      <c r="P1451" s="60">
        <f t="shared" si="205"/>
        <v>0</v>
      </c>
      <c r="Q1451" s="61"/>
    </row>
    <row r="1452" spans="1:17" ht="13">
      <c r="A1452" s="28">
        <v>0</v>
      </c>
      <c r="B1452" s="28" t="s">
        <v>1053</v>
      </c>
      <c r="C1452" s="129" t="s">
        <v>1050</v>
      </c>
      <c r="D1452" s="128">
        <v>0</v>
      </c>
      <c r="E1452" s="128" t="s">
        <v>1050</v>
      </c>
      <c r="F1452" s="29" t="s">
        <v>1050</v>
      </c>
      <c r="G1452" s="56" t="str">
        <f t="shared" ca="1" si="206"/>
        <v/>
      </c>
      <c r="H1452" s="28" t="str">
        <f t="shared" ca="1" si="207"/>
        <v/>
      </c>
      <c r="J1452" s="38" t="str">
        <f t="shared" si="201"/>
        <v xml:space="preserve"> </v>
      </c>
      <c r="K1452" s="39">
        <f t="shared" si="202"/>
        <v>0</v>
      </c>
      <c r="L1452" s="39" t="str">
        <f t="shared" si="203"/>
        <v/>
      </c>
      <c r="M1452" s="40" t="str">
        <f t="shared" si="208"/>
        <v xml:space="preserve"> </v>
      </c>
      <c r="N1452" s="41" t="str">
        <f t="shared" ca="1" si="209"/>
        <v/>
      </c>
      <c r="O1452" s="41" t="str">
        <f t="shared" si="204"/>
        <v xml:space="preserve"> </v>
      </c>
      <c r="P1452" s="60">
        <f t="shared" si="205"/>
        <v>0</v>
      </c>
      <c r="Q1452" s="61"/>
    </row>
    <row r="1453" spans="1:17" ht="13">
      <c r="A1453" s="28">
        <v>0</v>
      </c>
      <c r="B1453" s="28" t="s">
        <v>1053</v>
      </c>
      <c r="C1453" s="129" t="s">
        <v>1050</v>
      </c>
      <c r="D1453" s="128">
        <v>0</v>
      </c>
      <c r="E1453" s="128" t="s">
        <v>1050</v>
      </c>
      <c r="F1453" s="29" t="s">
        <v>1050</v>
      </c>
      <c r="G1453" s="56" t="str">
        <f t="shared" ca="1" si="206"/>
        <v/>
      </c>
      <c r="H1453" s="28" t="str">
        <f t="shared" ca="1" si="207"/>
        <v/>
      </c>
      <c r="J1453" s="38" t="str">
        <f t="shared" si="201"/>
        <v xml:space="preserve"> </v>
      </c>
      <c r="K1453" s="39">
        <f t="shared" si="202"/>
        <v>0</v>
      </c>
      <c r="L1453" s="39" t="str">
        <f t="shared" si="203"/>
        <v/>
      </c>
      <c r="M1453" s="40" t="str">
        <f t="shared" si="208"/>
        <v xml:space="preserve"> </v>
      </c>
      <c r="N1453" s="41" t="str">
        <f t="shared" ca="1" si="209"/>
        <v/>
      </c>
      <c r="O1453" s="41" t="str">
        <f t="shared" si="204"/>
        <v xml:space="preserve"> </v>
      </c>
      <c r="P1453" s="60">
        <f t="shared" si="205"/>
        <v>0</v>
      </c>
      <c r="Q1453" s="61"/>
    </row>
    <row r="1454" spans="1:17" ht="13">
      <c r="A1454" s="28">
        <v>0</v>
      </c>
      <c r="B1454" s="28" t="s">
        <v>1053</v>
      </c>
      <c r="C1454" s="129" t="s">
        <v>1050</v>
      </c>
      <c r="D1454" s="128">
        <v>0</v>
      </c>
      <c r="E1454" s="128" t="s">
        <v>1050</v>
      </c>
      <c r="F1454" s="29" t="s">
        <v>1050</v>
      </c>
      <c r="G1454" s="56" t="str">
        <f t="shared" ca="1" si="206"/>
        <v/>
      </c>
      <c r="H1454" s="28" t="str">
        <f t="shared" ca="1" si="207"/>
        <v/>
      </c>
      <c r="J1454" s="38" t="str">
        <f t="shared" si="201"/>
        <v xml:space="preserve"> </v>
      </c>
      <c r="K1454" s="39">
        <f t="shared" si="202"/>
        <v>0</v>
      </c>
      <c r="L1454" s="39" t="str">
        <f t="shared" si="203"/>
        <v/>
      </c>
      <c r="M1454" s="40" t="str">
        <f t="shared" si="208"/>
        <v xml:space="preserve"> </v>
      </c>
      <c r="N1454" s="41" t="str">
        <f t="shared" ca="1" si="209"/>
        <v/>
      </c>
      <c r="O1454" s="41" t="str">
        <f t="shared" si="204"/>
        <v xml:space="preserve"> </v>
      </c>
      <c r="P1454" s="60">
        <f t="shared" si="205"/>
        <v>0</v>
      </c>
      <c r="Q1454" s="61"/>
    </row>
    <row r="1455" spans="1:17" ht="13">
      <c r="A1455" s="28">
        <v>0</v>
      </c>
      <c r="B1455" s="28" t="s">
        <v>1053</v>
      </c>
      <c r="C1455" s="129" t="s">
        <v>1050</v>
      </c>
      <c r="D1455" s="128">
        <v>0</v>
      </c>
      <c r="E1455" s="128" t="s">
        <v>1050</v>
      </c>
      <c r="F1455" s="29" t="s">
        <v>1050</v>
      </c>
      <c r="G1455" s="56" t="str">
        <f t="shared" ca="1" si="206"/>
        <v/>
      </c>
      <c r="H1455" s="28" t="str">
        <f t="shared" ca="1" si="207"/>
        <v/>
      </c>
      <c r="J1455" s="38" t="str">
        <f t="shared" si="201"/>
        <v xml:space="preserve"> </v>
      </c>
      <c r="K1455" s="39">
        <f t="shared" si="202"/>
        <v>0</v>
      </c>
      <c r="L1455" s="39" t="str">
        <f t="shared" si="203"/>
        <v/>
      </c>
      <c r="M1455" s="40" t="str">
        <f t="shared" si="208"/>
        <v xml:space="preserve"> </v>
      </c>
      <c r="N1455" s="41" t="str">
        <f t="shared" ca="1" si="209"/>
        <v/>
      </c>
      <c r="O1455" s="41" t="str">
        <f t="shared" si="204"/>
        <v xml:space="preserve"> </v>
      </c>
      <c r="P1455" s="60">
        <f t="shared" si="205"/>
        <v>0</v>
      </c>
      <c r="Q1455" s="61"/>
    </row>
    <row r="1456" spans="1:17" ht="13">
      <c r="A1456" s="28">
        <v>0</v>
      </c>
      <c r="B1456" s="28" t="s">
        <v>1053</v>
      </c>
      <c r="C1456" s="129" t="s">
        <v>1050</v>
      </c>
      <c r="D1456" s="128">
        <v>0</v>
      </c>
      <c r="E1456" s="128" t="s">
        <v>1050</v>
      </c>
      <c r="F1456" s="29" t="s">
        <v>1050</v>
      </c>
      <c r="G1456" s="56" t="str">
        <f t="shared" ca="1" si="206"/>
        <v/>
      </c>
      <c r="H1456" s="28" t="str">
        <f t="shared" ca="1" si="207"/>
        <v/>
      </c>
      <c r="J1456" s="38" t="str">
        <f t="shared" si="201"/>
        <v xml:space="preserve"> </v>
      </c>
      <c r="K1456" s="39">
        <f t="shared" si="202"/>
        <v>0</v>
      </c>
      <c r="L1456" s="39" t="str">
        <f t="shared" si="203"/>
        <v/>
      </c>
      <c r="M1456" s="40" t="str">
        <f t="shared" si="208"/>
        <v xml:space="preserve"> </v>
      </c>
      <c r="N1456" s="41" t="str">
        <f t="shared" ca="1" si="209"/>
        <v/>
      </c>
      <c r="O1456" s="41" t="str">
        <f t="shared" si="204"/>
        <v xml:space="preserve"> </v>
      </c>
      <c r="P1456" s="60">
        <f t="shared" si="205"/>
        <v>0</v>
      </c>
      <c r="Q1456" s="61"/>
    </row>
    <row r="1457" spans="1:17" ht="13">
      <c r="A1457" s="28">
        <v>0</v>
      </c>
      <c r="B1457" s="28" t="s">
        <v>1053</v>
      </c>
      <c r="C1457" s="129" t="s">
        <v>1050</v>
      </c>
      <c r="D1457" s="128">
        <v>0</v>
      </c>
      <c r="E1457" s="128" t="s">
        <v>1050</v>
      </c>
      <c r="F1457" s="29" t="s">
        <v>1050</v>
      </c>
      <c r="G1457" s="56" t="str">
        <f t="shared" ca="1" si="206"/>
        <v/>
      </c>
      <c r="H1457" s="28" t="str">
        <f t="shared" ca="1" si="207"/>
        <v/>
      </c>
      <c r="J1457" s="38" t="str">
        <f t="shared" si="201"/>
        <v xml:space="preserve"> </v>
      </c>
      <c r="K1457" s="39">
        <f t="shared" si="202"/>
        <v>0</v>
      </c>
      <c r="L1457" s="39" t="str">
        <f t="shared" si="203"/>
        <v/>
      </c>
      <c r="M1457" s="40" t="str">
        <f t="shared" si="208"/>
        <v xml:space="preserve"> </v>
      </c>
      <c r="N1457" s="41" t="str">
        <f t="shared" ca="1" si="209"/>
        <v/>
      </c>
      <c r="O1457" s="41" t="str">
        <f t="shared" si="204"/>
        <v xml:space="preserve"> </v>
      </c>
      <c r="P1457" s="60">
        <f t="shared" si="205"/>
        <v>0</v>
      </c>
      <c r="Q1457" s="61"/>
    </row>
    <row r="1458" spans="1:17" ht="13">
      <c r="A1458" s="28">
        <v>0</v>
      </c>
      <c r="B1458" s="28" t="s">
        <v>1053</v>
      </c>
      <c r="C1458" s="129" t="s">
        <v>1050</v>
      </c>
      <c r="D1458" s="128">
        <v>0</v>
      </c>
      <c r="E1458" s="128" t="s">
        <v>1050</v>
      </c>
      <c r="F1458" s="29" t="s">
        <v>1050</v>
      </c>
      <c r="G1458" s="56" t="str">
        <f t="shared" ca="1" si="206"/>
        <v/>
      </c>
      <c r="H1458" s="28" t="str">
        <f t="shared" ca="1" si="207"/>
        <v/>
      </c>
      <c r="J1458" s="38" t="str">
        <f t="shared" si="201"/>
        <v xml:space="preserve"> </v>
      </c>
      <c r="K1458" s="39">
        <f t="shared" si="202"/>
        <v>0</v>
      </c>
      <c r="L1458" s="39" t="str">
        <f t="shared" si="203"/>
        <v/>
      </c>
      <c r="M1458" s="40" t="str">
        <f t="shared" si="208"/>
        <v xml:space="preserve"> </v>
      </c>
      <c r="N1458" s="41" t="str">
        <f t="shared" ca="1" si="209"/>
        <v/>
      </c>
      <c r="O1458" s="41" t="str">
        <f t="shared" si="204"/>
        <v xml:space="preserve"> </v>
      </c>
      <c r="P1458" s="60">
        <f t="shared" si="205"/>
        <v>0</v>
      </c>
      <c r="Q1458" s="61"/>
    </row>
    <row r="1459" spans="1:17" ht="13">
      <c r="A1459" s="28">
        <v>0</v>
      </c>
      <c r="B1459" s="28" t="s">
        <v>1053</v>
      </c>
      <c r="C1459" s="129" t="s">
        <v>1050</v>
      </c>
      <c r="D1459" s="128">
        <v>0</v>
      </c>
      <c r="E1459" s="128" t="s">
        <v>1050</v>
      </c>
      <c r="F1459" s="29" t="s">
        <v>1050</v>
      </c>
      <c r="G1459" s="56" t="str">
        <f t="shared" ca="1" si="206"/>
        <v/>
      </c>
      <c r="H1459" s="28" t="str">
        <f t="shared" ca="1" si="207"/>
        <v/>
      </c>
      <c r="J1459" s="38" t="str">
        <f t="shared" si="201"/>
        <v xml:space="preserve"> </v>
      </c>
      <c r="K1459" s="39">
        <f t="shared" si="202"/>
        <v>0</v>
      </c>
      <c r="L1459" s="39" t="str">
        <f t="shared" si="203"/>
        <v/>
      </c>
      <c r="M1459" s="40" t="str">
        <f t="shared" si="208"/>
        <v xml:space="preserve"> </v>
      </c>
      <c r="N1459" s="41" t="str">
        <f t="shared" ca="1" si="209"/>
        <v/>
      </c>
      <c r="O1459" s="41" t="str">
        <f t="shared" si="204"/>
        <v xml:space="preserve"> </v>
      </c>
      <c r="P1459" s="60">
        <f t="shared" si="205"/>
        <v>0</v>
      </c>
      <c r="Q1459" s="61"/>
    </row>
    <row r="1460" spans="1:17" ht="13">
      <c r="A1460" s="28">
        <v>0</v>
      </c>
      <c r="B1460" s="28" t="s">
        <v>1053</v>
      </c>
      <c r="C1460" s="129" t="s">
        <v>1050</v>
      </c>
      <c r="D1460" s="128">
        <v>0</v>
      </c>
      <c r="E1460" s="128" t="s">
        <v>1050</v>
      </c>
      <c r="F1460" s="29" t="s">
        <v>1050</v>
      </c>
      <c r="G1460" s="56" t="str">
        <f t="shared" ca="1" si="206"/>
        <v/>
      </c>
      <c r="H1460" s="28" t="str">
        <f t="shared" ca="1" si="207"/>
        <v/>
      </c>
      <c r="J1460" s="38" t="str">
        <f t="shared" si="201"/>
        <v xml:space="preserve"> </v>
      </c>
      <c r="K1460" s="39">
        <f t="shared" si="202"/>
        <v>0</v>
      </c>
      <c r="L1460" s="39" t="str">
        <f t="shared" si="203"/>
        <v/>
      </c>
      <c r="M1460" s="40" t="str">
        <f t="shared" si="208"/>
        <v xml:space="preserve"> </v>
      </c>
      <c r="N1460" s="41" t="str">
        <f t="shared" ca="1" si="209"/>
        <v/>
      </c>
      <c r="O1460" s="41" t="str">
        <f t="shared" si="204"/>
        <v xml:space="preserve"> </v>
      </c>
      <c r="P1460" s="60">
        <f t="shared" si="205"/>
        <v>0</v>
      </c>
      <c r="Q1460" s="61"/>
    </row>
    <row r="1461" spans="1:17" ht="13">
      <c r="A1461" s="28">
        <v>0</v>
      </c>
      <c r="B1461" s="28" t="s">
        <v>1053</v>
      </c>
      <c r="C1461" s="129" t="s">
        <v>1050</v>
      </c>
      <c r="D1461" s="128">
        <v>0</v>
      </c>
      <c r="E1461" s="128" t="s">
        <v>1050</v>
      </c>
      <c r="F1461" s="29" t="s">
        <v>1050</v>
      </c>
      <c r="G1461" s="56" t="str">
        <f t="shared" ca="1" si="206"/>
        <v/>
      </c>
      <c r="H1461" s="28" t="str">
        <f t="shared" ca="1" si="207"/>
        <v/>
      </c>
      <c r="J1461" s="38" t="str">
        <f t="shared" si="201"/>
        <v xml:space="preserve"> </v>
      </c>
      <c r="K1461" s="39">
        <f t="shared" si="202"/>
        <v>0</v>
      </c>
      <c r="L1461" s="39" t="str">
        <f t="shared" si="203"/>
        <v/>
      </c>
      <c r="M1461" s="40" t="str">
        <f t="shared" si="208"/>
        <v xml:space="preserve"> </v>
      </c>
      <c r="N1461" s="41" t="str">
        <f t="shared" ca="1" si="209"/>
        <v/>
      </c>
      <c r="O1461" s="41" t="str">
        <f t="shared" si="204"/>
        <v xml:space="preserve"> </v>
      </c>
      <c r="P1461" s="60">
        <f t="shared" si="205"/>
        <v>0</v>
      </c>
      <c r="Q1461" s="61"/>
    </row>
    <row r="1462" spans="1:17" ht="13">
      <c r="A1462" s="28">
        <v>0</v>
      </c>
      <c r="B1462" s="28" t="s">
        <v>1053</v>
      </c>
      <c r="C1462" s="129" t="s">
        <v>1050</v>
      </c>
      <c r="D1462" s="128">
        <v>0</v>
      </c>
      <c r="E1462" s="128" t="s">
        <v>1050</v>
      </c>
      <c r="F1462" s="29" t="s">
        <v>1050</v>
      </c>
      <c r="G1462" s="56" t="str">
        <f t="shared" ca="1" si="206"/>
        <v/>
      </c>
      <c r="H1462" s="28" t="str">
        <f t="shared" ca="1" si="207"/>
        <v/>
      </c>
      <c r="J1462" s="38" t="str">
        <f t="shared" si="201"/>
        <v xml:space="preserve"> </v>
      </c>
      <c r="K1462" s="39">
        <f t="shared" si="202"/>
        <v>0</v>
      </c>
      <c r="L1462" s="39" t="str">
        <f t="shared" si="203"/>
        <v/>
      </c>
      <c r="M1462" s="40" t="str">
        <f t="shared" si="208"/>
        <v xml:space="preserve"> </v>
      </c>
      <c r="N1462" s="41" t="str">
        <f t="shared" ca="1" si="209"/>
        <v/>
      </c>
      <c r="O1462" s="41" t="str">
        <f t="shared" si="204"/>
        <v xml:space="preserve"> </v>
      </c>
      <c r="P1462" s="60">
        <f t="shared" si="205"/>
        <v>0</v>
      </c>
      <c r="Q1462" s="61"/>
    </row>
    <row r="1463" spans="1:17" ht="13">
      <c r="A1463" s="28">
        <v>0</v>
      </c>
      <c r="B1463" s="28" t="s">
        <v>1053</v>
      </c>
      <c r="C1463" s="129" t="s">
        <v>1050</v>
      </c>
      <c r="D1463" s="128">
        <v>0</v>
      </c>
      <c r="E1463" s="128" t="s">
        <v>1050</v>
      </c>
      <c r="F1463" s="29" t="s">
        <v>1050</v>
      </c>
      <c r="G1463" s="56" t="str">
        <f t="shared" ca="1" si="206"/>
        <v/>
      </c>
      <c r="H1463" s="28" t="str">
        <f t="shared" ca="1" si="207"/>
        <v/>
      </c>
      <c r="J1463" s="38" t="str">
        <f t="shared" si="201"/>
        <v xml:space="preserve"> </v>
      </c>
      <c r="K1463" s="39">
        <f t="shared" si="202"/>
        <v>0</v>
      </c>
      <c r="L1463" s="39" t="str">
        <f t="shared" si="203"/>
        <v/>
      </c>
      <c r="M1463" s="40" t="str">
        <f t="shared" si="208"/>
        <v xml:space="preserve"> </v>
      </c>
      <c r="N1463" s="41" t="str">
        <f t="shared" ca="1" si="209"/>
        <v/>
      </c>
      <c r="O1463" s="41" t="str">
        <f t="shared" si="204"/>
        <v xml:space="preserve"> </v>
      </c>
      <c r="P1463" s="60">
        <f t="shared" si="205"/>
        <v>0</v>
      </c>
      <c r="Q1463" s="61"/>
    </row>
    <row r="1464" spans="1:17" ht="13">
      <c r="A1464" s="28">
        <v>0</v>
      </c>
      <c r="B1464" s="28" t="s">
        <v>1053</v>
      </c>
      <c r="C1464" s="129" t="s">
        <v>1050</v>
      </c>
      <c r="D1464" s="128">
        <v>0</v>
      </c>
      <c r="E1464" s="128" t="s">
        <v>1050</v>
      </c>
      <c r="F1464" s="29" t="s">
        <v>1050</v>
      </c>
      <c r="G1464" s="56" t="str">
        <f t="shared" ca="1" si="206"/>
        <v/>
      </c>
      <c r="H1464" s="28" t="str">
        <f t="shared" ca="1" si="207"/>
        <v/>
      </c>
      <c r="J1464" s="38" t="str">
        <f t="shared" si="201"/>
        <v xml:space="preserve"> </v>
      </c>
      <c r="K1464" s="39">
        <f t="shared" si="202"/>
        <v>0</v>
      </c>
      <c r="L1464" s="39" t="str">
        <f t="shared" si="203"/>
        <v/>
      </c>
      <c r="M1464" s="40" t="str">
        <f t="shared" si="208"/>
        <v xml:space="preserve"> </v>
      </c>
      <c r="N1464" s="41" t="str">
        <f t="shared" ca="1" si="209"/>
        <v/>
      </c>
      <c r="O1464" s="41" t="str">
        <f t="shared" si="204"/>
        <v xml:space="preserve"> </v>
      </c>
      <c r="P1464" s="60">
        <f t="shared" si="205"/>
        <v>0</v>
      </c>
      <c r="Q1464" s="61"/>
    </row>
    <row r="1465" spans="1:17" ht="13">
      <c r="A1465" s="28">
        <v>0</v>
      </c>
      <c r="B1465" s="28" t="s">
        <v>1053</v>
      </c>
      <c r="C1465" s="129" t="s">
        <v>1050</v>
      </c>
      <c r="D1465" s="128">
        <v>0</v>
      </c>
      <c r="E1465" s="128" t="s">
        <v>1050</v>
      </c>
      <c r="F1465" s="29" t="s">
        <v>1050</v>
      </c>
      <c r="G1465" s="56" t="str">
        <f t="shared" ca="1" si="206"/>
        <v/>
      </c>
      <c r="H1465" s="28" t="str">
        <f t="shared" ca="1" si="207"/>
        <v/>
      </c>
      <c r="J1465" s="38" t="str">
        <f t="shared" si="201"/>
        <v xml:space="preserve"> </v>
      </c>
      <c r="K1465" s="39">
        <f t="shared" si="202"/>
        <v>0</v>
      </c>
      <c r="L1465" s="39" t="str">
        <f t="shared" si="203"/>
        <v/>
      </c>
      <c r="M1465" s="40" t="str">
        <f t="shared" si="208"/>
        <v xml:space="preserve"> </v>
      </c>
      <c r="N1465" s="41" t="str">
        <f t="shared" ca="1" si="209"/>
        <v/>
      </c>
      <c r="O1465" s="41" t="str">
        <f t="shared" si="204"/>
        <v xml:space="preserve"> </v>
      </c>
      <c r="P1465" s="60">
        <f t="shared" si="205"/>
        <v>0</v>
      </c>
      <c r="Q1465" s="61"/>
    </row>
    <row r="1466" spans="1:17" ht="13">
      <c r="A1466" s="28">
        <v>0</v>
      </c>
      <c r="B1466" s="28" t="s">
        <v>1053</v>
      </c>
      <c r="C1466" s="129" t="s">
        <v>1050</v>
      </c>
      <c r="D1466" s="128">
        <v>0</v>
      </c>
      <c r="E1466" s="128" t="s">
        <v>1050</v>
      </c>
      <c r="F1466" s="29" t="s">
        <v>1050</v>
      </c>
      <c r="G1466" s="56" t="str">
        <f t="shared" ca="1" si="206"/>
        <v/>
      </c>
      <c r="H1466" s="28" t="str">
        <f t="shared" ca="1" si="207"/>
        <v/>
      </c>
      <c r="J1466" s="38" t="str">
        <f t="shared" si="201"/>
        <v xml:space="preserve"> </v>
      </c>
      <c r="K1466" s="39">
        <f t="shared" si="202"/>
        <v>0</v>
      </c>
      <c r="L1466" s="39" t="str">
        <f t="shared" si="203"/>
        <v/>
      </c>
      <c r="M1466" s="40" t="str">
        <f t="shared" si="208"/>
        <v xml:space="preserve"> </v>
      </c>
      <c r="N1466" s="41" t="str">
        <f t="shared" ca="1" si="209"/>
        <v/>
      </c>
      <c r="O1466" s="41" t="str">
        <f t="shared" si="204"/>
        <v xml:space="preserve"> </v>
      </c>
      <c r="P1466" s="60">
        <f t="shared" si="205"/>
        <v>0</v>
      </c>
      <c r="Q1466" s="61"/>
    </row>
    <row r="1467" spans="1:17" ht="13">
      <c r="A1467" s="28">
        <v>0</v>
      </c>
      <c r="B1467" s="28" t="s">
        <v>1053</v>
      </c>
      <c r="C1467" s="129" t="s">
        <v>1050</v>
      </c>
      <c r="D1467" s="128">
        <v>0</v>
      </c>
      <c r="E1467" s="128" t="s">
        <v>1050</v>
      </c>
      <c r="F1467" s="29" t="s">
        <v>1050</v>
      </c>
      <c r="G1467" s="56" t="str">
        <f t="shared" ca="1" si="206"/>
        <v/>
      </c>
      <c r="H1467" s="28" t="str">
        <f t="shared" ca="1" si="207"/>
        <v/>
      </c>
      <c r="J1467" s="38" t="str">
        <f t="shared" si="201"/>
        <v xml:space="preserve"> </v>
      </c>
      <c r="K1467" s="39">
        <f t="shared" si="202"/>
        <v>0</v>
      </c>
      <c r="L1467" s="39" t="str">
        <f t="shared" si="203"/>
        <v/>
      </c>
      <c r="M1467" s="40" t="str">
        <f t="shared" si="208"/>
        <v xml:space="preserve"> </v>
      </c>
      <c r="N1467" s="41" t="str">
        <f t="shared" ca="1" si="209"/>
        <v/>
      </c>
      <c r="O1467" s="41" t="str">
        <f t="shared" si="204"/>
        <v xml:space="preserve"> </v>
      </c>
      <c r="P1467" s="60">
        <f t="shared" si="205"/>
        <v>0</v>
      </c>
      <c r="Q1467" s="61"/>
    </row>
    <row r="1468" spans="1:17" ht="13">
      <c r="A1468" s="28">
        <v>0</v>
      </c>
      <c r="B1468" s="28" t="s">
        <v>1053</v>
      </c>
      <c r="C1468" s="129" t="s">
        <v>1050</v>
      </c>
      <c r="D1468" s="128">
        <v>0</v>
      </c>
      <c r="E1468" s="128" t="s">
        <v>1050</v>
      </c>
      <c r="F1468" s="29" t="s">
        <v>1050</v>
      </c>
      <c r="G1468" s="56" t="str">
        <f t="shared" ca="1" si="206"/>
        <v/>
      </c>
      <c r="H1468" s="28" t="str">
        <f t="shared" ca="1" si="207"/>
        <v/>
      </c>
      <c r="J1468" s="38" t="str">
        <f t="shared" si="201"/>
        <v xml:space="preserve"> </v>
      </c>
      <c r="K1468" s="39">
        <f t="shared" si="202"/>
        <v>0</v>
      </c>
      <c r="L1468" s="39" t="str">
        <f t="shared" si="203"/>
        <v/>
      </c>
      <c r="M1468" s="40" t="str">
        <f t="shared" si="208"/>
        <v xml:space="preserve"> </v>
      </c>
      <c r="N1468" s="41" t="str">
        <f t="shared" ca="1" si="209"/>
        <v/>
      </c>
      <c r="O1468" s="41" t="str">
        <f t="shared" si="204"/>
        <v xml:space="preserve"> </v>
      </c>
      <c r="P1468" s="60">
        <f t="shared" si="205"/>
        <v>0</v>
      </c>
      <c r="Q1468" s="61"/>
    </row>
    <row r="1469" spans="1:17" ht="13">
      <c r="A1469" s="28">
        <v>0</v>
      </c>
      <c r="B1469" s="28" t="s">
        <v>1053</v>
      </c>
      <c r="C1469" s="129" t="s">
        <v>1050</v>
      </c>
      <c r="D1469" s="128">
        <v>0</v>
      </c>
      <c r="E1469" s="128" t="s">
        <v>1050</v>
      </c>
      <c r="F1469" s="29" t="s">
        <v>1050</v>
      </c>
      <c r="G1469" s="56" t="str">
        <f t="shared" ca="1" si="206"/>
        <v/>
      </c>
      <c r="H1469" s="28" t="str">
        <f t="shared" ca="1" si="207"/>
        <v/>
      </c>
      <c r="J1469" s="38" t="str">
        <f t="shared" si="201"/>
        <v xml:space="preserve"> </v>
      </c>
      <c r="K1469" s="39">
        <f t="shared" si="202"/>
        <v>0</v>
      </c>
      <c r="L1469" s="39" t="str">
        <f t="shared" si="203"/>
        <v/>
      </c>
      <c r="M1469" s="40" t="str">
        <f t="shared" si="208"/>
        <v xml:space="preserve"> </v>
      </c>
      <c r="N1469" s="41" t="str">
        <f t="shared" ca="1" si="209"/>
        <v/>
      </c>
      <c r="O1469" s="41" t="str">
        <f t="shared" si="204"/>
        <v xml:space="preserve"> </v>
      </c>
      <c r="P1469" s="60">
        <f t="shared" si="205"/>
        <v>0</v>
      </c>
      <c r="Q1469" s="61"/>
    </row>
    <row r="1470" spans="1:17" ht="13">
      <c r="A1470" s="28">
        <v>0</v>
      </c>
      <c r="B1470" s="28" t="s">
        <v>1053</v>
      </c>
      <c r="C1470" s="129" t="s">
        <v>1050</v>
      </c>
      <c r="D1470" s="128">
        <v>0</v>
      </c>
      <c r="E1470" s="128" t="s">
        <v>1050</v>
      </c>
      <c r="F1470" s="29" t="s">
        <v>1050</v>
      </c>
      <c r="G1470" s="56" t="str">
        <f t="shared" ca="1" si="206"/>
        <v/>
      </c>
      <c r="H1470" s="28" t="str">
        <f t="shared" ca="1" si="207"/>
        <v/>
      </c>
      <c r="J1470" s="38" t="str">
        <f t="shared" si="201"/>
        <v xml:space="preserve"> </v>
      </c>
      <c r="K1470" s="39">
        <f t="shared" si="202"/>
        <v>0</v>
      </c>
      <c r="L1470" s="39" t="str">
        <f t="shared" si="203"/>
        <v/>
      </c>
      <c r="M1470" s="40" t="str">
        <f t="shared" si="208"/>
        <v xml:space="preserve"> </v>
      </c>
      <c r="N1470" s="41" t="str">
        <f t="shared" ca="1" si="209"/>
        <v/>
      </c>
      <c r="O1470" s="41" t="str">
        <f t="shared" si="204"/>
        <v xml:space="preserve"> </v>
      </c>
      <c r="P1470" s="60">
        <f t="shared" si="205"/>
        <v>0</v>
      </c>
      <c r="Q1470" s="61"/>
    </row>
    <row r="1471" spans="1:17" ht="13">
      <c r="A1471" s="28">
        <v>0</v>
      </c>
      <c r="B1471" s="28" t="s">
        <v>1053</v>
      </c>
      <c r="C1471" s="129" t="s">
        <v>1050</v>
      </c>
      <c r="D1471" s="128">
        <v>0</v>
      </c>
      <c r="E1471" s="128" t="s">
        <v>1050</v>
      </c>
      <c r="F1471" s="29" t="s">
        <v>1050</v>
      </c>
      <c r="G1471" s="56" t="str">
        <f t="shared" ca="1" si="206"/>
        <v/>
      </c>
      <c r="H1471" s="28" t="str">
        <f t="shared" ca="1" si="207"/>
        <v/>
      </c>
      <c r="J1471" s="38" t="str">
        <f t="shared" si="201"/>
        <v xml:space="preserve"> </v>
      </c>
      <c r="K1471" s="39">
        <f t="shared" si="202"/>
        <v>0</v>
      </c>
      <c r="L1471" s="39" t="str">
        <f t="shared" si="203"/>
        <v/>
      </c>
      <c r="M1471" s="40" t="str">
        <f t="shared" si="208"/>
        <v xml:space="preserve"> </v>
      </c>
      <c r="N1471" s="41" t="str">
        <f t="shared" ca="1" si="209"/>
        <v/>
      </c>
      <c r="O1471" s="41" t="str">
        <f t="shared" si="204"/>
        <v xml:space="preserve"> </v>
      </c>
      <c r="P1471" s="60">
        <f t="shared" si="205"/>
        <v>0</v>
      </c>
      <c r="Q1471" s="61"/>
    </row>
    <row r="1472" spans="1:17" ht="13">
      <c r="A1472" s="28">
        <v>0</v>
      </c>
      <c r="B1472" s="28" t="s">
        <v>1053</v>
      </c>
      <c r="C1472" s="129" t="s">
        <v>1050</v>
      </c>
      <c r="D1472" s="128">
        <v>0</v>
      </c>
      <c r="E1472" s="128" t="s">
        <v>1050</v>
      </c>
      <c r="F1472" s="29" t="s">
        <v>1050</v>
      </c>
      <c r="G1472" s="56" t="str">
        <f t="shared" ca="1" si="206"/>
        <v/>
      </c>
      <c r="H1472" s="28" t="str">
        <f t="shared" ca="1" si="207"/>
        <v/>
      </c>
      <c r="J1472" s="38" t="str">
        <f t="shared" si="201"/>
        <v xml:space="preserve"> </v>
      </c>
      <c r="K1472" s="39">
        <f t="shared" si="202"/>
        <v>0</v>
      </c>
      <c r="L1472" s="39" t="str">
        <f t="shared" si="203"/>
        <v/>
      </c>
      <c r="M1472" s="40" t="str">
        <f t="shared" si="208"/>
        <v xml:space="preserve"> </v>
      </c>
      <c r="N1472" s="41" t="str">
        <f t="shared" ca="1" si="209"/>
        <v/>
      </c>
      <c r="O1472" s="41" t="str">
        <f t="shared" si="204"/>
        <v xml:space="preserve"> </v>
      </c>
      <c r="P1472" s="60">
        <f t="shared" si="205"/>
        <v>0</v>
      </c>
      <c r="Q1472" s="61"/>
    </row>
    <row r="1473" spans="1:17" ht="13">
      <c r="A1473" s="28">
        <v>0</v>
      </c>
      <c r="B1473" s="28" t="s">
        <v>1053</v>
      </c>
      <c r="C1473" s="129" t="s">
        <v>1050</v>
      </c>
      <c r="D1473" s="128">
        <v>0</v>
      </c>
      <c r="E1473" s="128" t="s">
        <v>1050</v>
      </c>
      <c r="F1473" s="29" t="s">
        <v>1050</v>
      </c>
      <c r="G1473" s="56" t="str">
        <f t="shared" ca="1" si="206"/>
        <v/>
      </c>
      <c r="H1473" s="28" t="str">
        <f t="shared" ca="1" si="207"/>
        <v/>
      </c>
      <c r="J1473" s="38" t="str">
        <f t="shared" si="201"/>
        <v xml:space="preserve"> </v>
      </c>
      <c r="K1473" s="39">
        <f t="shared" si="202"/>
        <v>0</v>
      </c>
      <c r="L1473" s="39" t="str">
        <f t="shared" si="203"/>
        <v/>
      </c>
      <c r="M1473" s="40" t="str">
        <f t="shared" si="208"/>
        <v xml:space="preserve"> </v>
      </c>
      <c r="N1473" s="41" t="str">
        <f t="shared" ca="1" si="209"/>
        <v/>
      </c>
      <c r="O1473" s="41" t="str">
        <f t="shared" si="204"/>
        <v xml:space="preserve"> </v>
      </c>
      <c r="P1473" s="60">
        <f t="shared" si="205"/>
        <v>0</v>
      </c>
      <c r="Q1473" s="61"/>
    </row>
    <row r="1474" spans="1:17" ht="13">
      <c r="A1474" s="28">
        <v>0</v>
      </c>
      <c r="B1474" s="28" t="s">
        <v>1053</v>
      </c>
      <c r="C1474" s="129" t="s">
        <v>1050</v>
      </c>
      <c r="D1474" s="128">
        <v>0</v>
      </c>
      <c r="E1474" s="128" t="s">
        <v>1050</v>
      </c>
      <c r="F1474" s="29" t="s">
        <v>1050</v>
      </c>
      <c r="G1474" s="56" t="str">
        <f t="shared" ca="1" si="206"/>
        <v/>
      </c>
      <c r="H1474" s="28" t="str">
        <f t="shared" ca="1" si="207"/>
        <v/>
      </c>
      <c r="J1474" s="38" t="str">
        <f t="shared" ref="J1474:J1500" si="210">C1474</f>
        <v xml:space="preserve"> </v>
      </c>
      <c r="K1474" s="39">
        <f t="shared" ref="K1474:K1500" si="211">A1474</f>
        <v>0</v>
      </c>
      <c r="L1474" s="39" t="str">
        <f t="shared" ref="L1474:L1500" si="212">B1474</f>
        <v/>
      </c>
      <c r="M1474" s="40" t="str">
        <f t="shared" si="208"/>
        <v xml:space="preserve"> </v>
      </c>
      <c r="N1474" s="41" t="str">
        <f t="shared" ca="1" si="209"/>
        <v/>
      </c>
      <c r="O1474" s="41" t="str">
        <f t="shared" si="204"/>
        <v xml:space="preserve"> </v>
      </c>
      <c r="P1474" s="60">
        <f t="shared" si="205"/>
        <v>0</v>
      </c>
      <c r="Q1474" s="61"/>
    </row>
    <row r="1475" spans="1:17" ht="13">
      <c r="A1475" s="28">
        <v>0</v>
      </c>
      <c r="B1475" s="28" t="s">
        <v>1053</v>
      </c>
      <c r="C1475" s="129" t="s">
        <v>1050</v>
      </c>
      <c r="D1475" s="128">
        <v>0</v>
      </c>
      <c r="E1475" s="128" t="s">
        <v>1050</v>
      </c>
      <c r="F1475" s="29" t="s">
        <v>1050</v>
      </c>
      <c r="G1475" s="56" t="str">
        <f t="shared" ref="G1475:G1538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B",IF(YEAR(TODAY())-YEAR(F1475)&lt;14,"Infantil",IF(YEAR(TODAY())-YEAR(F1475)&lt;16,"Iniciado",IF(YEAR(TODAY())-YEAR(F1475)&lt;18,"Juvenil",IF(YEAR(TODAY())-YEAR(F1475)&lt;20,"Júnior",IF(YEAR(TODAY())-YEAR(F1475)&lt;23,"sub 23",IF(ROUNDDOWN(INT(TODAY()-F1475)/365.25,0)&lt;35,"Sénior",IF(ROUNDDOWN(INT(TODAY()-F1475)/365.25,0)&lt;40,"V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65",IF(ROUNDDOWN(INT(TODAY()-F1475)/365.25,0)&lt;75,"V 70",IF(ROUNDDOWN(INT(TODAY()-F1475)/365.25,0)&lt;80,"V 75",IF(ROUNDDOWN(INT(TODAY()-F1475)/365.25,0)&lt;85,"V 80",IF(ROUNDDOWN(INT(TODAY()-F1475)/365.25,0)&lt;90,"V 85",IF(ROUNDDOWN(INT(TODAY()-F1475)/365.25,0)&lt;95,"V 90",IF(ROUNDDOWN(INT(TODAY()-F1475)/365.25,0)&lt;100,"V 95",IF(ROUNDDOWN(INT(TODAY()-F1475)/365.25,0)&gt;=100,"V 100",""))))))))))))))))))))))),"")</f>
        <v/>
      </c>
      <c r="H1475" s="28" t="str">
        <f t="shared" ref="H1475:H1500" ca="1" si="214">IFERROR(IF($A1475&gt;0,ROUNDDOWN(INT(TODAY()-F1475)/365.25,0),""),"")</f>
        <v/>
      </c>
      <c r="J1475" s="38" t="str">
        <f t="shared" si="210"/>
        <v xml:space="preserve"> </v>
      </c>
      <c r="K1475" s="39">
        <f t="shared" si="211"/>
        <v>0</v>
      </c>
      <c r="L1475" s="39" t="str">
        <f t="shared" si="212"/>
        <v/>
      </c>
      <c r="M1475" s="40" t="str">
        <f t="shared" ref="M1475:M1500" si="215">F1475</f>
        <v xml:space="preserve"> </v>
      </c>
      <c r="N1475" s="41" t="str">
        <f t="shared" ref="N1475:N1500" ca="1" si="216">G1475</f>
        <v/>
      </c>
      <c r="O1475" s="41" t="str">
        <f t="shared" ref="O1475:O1500" si="217">E1475</f>
        <v xml:space="preserve"> </v>
      </c>
      <c r="P1475" s="60">
        <f t="shared" ref="P1475:P1500" si="218">D1475</f>
        <v>0</v>
      </c>
      <c r="Q1475" s="61"/>
    </row>
    <row r="1476" spans="1:17" ht="13">
      <c r="A1476" s="28">
        <v>0</v>
      </c>
      <c r="B1476" s="28" t="s">
        <v>1053</v>
      </c>
      <c r="C1476" s="129" t="s">
        <v>1050</v>
      </c>
      <c r="D1476" s="128">
        <v>0</v>
      </c>
      <c r="E1476" s="128" t="s">
        <v>1050</v>
      </c>
      <c r="F1476" s="29" t="s">
        <v>1050</v>
      </c>
      <c r="G1476" s="56" t="str">
        <f t="shared" ca="1" si="213"/>
        <v/>
      </c>
      <c r="H1476" s="28" t="str">
        <f t="shared" ca="1" si="214"/>
        <v/>
      </c>
      <c r="J1476" s="38" t="str">
        <f t="shared" si="210"/>
        <v xml:space="preserve"> </v>
      </c>
      <c r="K1476" s="39">
        <f t="shared" si="211"/>
        <v>0</v>
      </c>
      <c r="L1476" s="39" t="str">
        <f t="shared" si="212"/>
        <v/>
      </c>
      <c r="M1476" s="40" t="str">
        <f t="shared" si="215"/>
        <v xml:space="preserve"> </v>
      </c>
      <c r="N1476" s="41" t="str">
        <f t="shared" ca="1" si="216"/>
        <v/>
      </c>
      <c r="O1476" s="41" t="str">
        <f t="shared" si="217"/>
        <v xml:space="preserve"> </v>
      </c>
      <c r="P1476" s="60">
        <f t="shared" si="218"/>
        <v>0</v>
      </c>
      <c r="Q1476" s="61"/>
    </row>
    <row r="1477" spans="1:17" ht="13">
      <c r="A1477" s="28">
        <v>0</v>
      </c>
      <c r="B1477" s="28" t="s">
        <v>1053</v>
      </c>
      <c r="C1477" s="129" t="s">
        <v>1050</v>
      </c>
      <c r="D1477" s="128">
        <v>0</v>
      </c>
      <c r="E1477" s="128" t="s">
        <v>1050</v>
      </c>
      <c r="F1477" s="29" t="s">
        <v>1050</v>
      </c>
      <c r="G1477" s="56" t="str">
        <f t="shared" ca="1" si="213"/>
        <v/>
      </c>
      <c r="H1477" s="28" t="str">
        <f t="shared" ca="1" si="214"/>
        <v/>
      </c>
      <c r="J1477" s="38" t="str">
        <f t="shared" si="210"/>
        <v xml:space="preserve"> </v>
      </c>
      <c r="K1477" s="39">
        <f t="shared" si="211"/>
        <v>0</v>
      </c>
      <c r="L1477" s="39" t="str">
        <f t="shared" si="212"/>
        <v/>
      </c>
      <c r="M1477" s="40" t="str">
        <f t="shared" si="215"/>
        <v xml:space="preserve"> </v>
      </c>
      <c r="N1477" s="41" t="str">
        <f t="shared" ca="1" si="216"/>
        <v/>
      </c>
      <c r="O1477" s="41" t="str">
        <f t="shared" si="217"/>
        <v xml:space="preserve"> </v>
      </c>
      <c r="P1477" s="60">
        <f t="shared" si="218"/>
        <v>0</v>
      </c>
      <c r="Q1477" s="61"/>
    </row>
    <row r="1478" spans="1:17" ht="13">
      <c r="A1478" s="28">
        <v>0</v>
      </c>
      <c r="B1478" s="28" t="s">
        <v>1053</v>
      </c>
      <c r="C1478" s="129" t="s">
        <v>1050</v>
      </c>
      <c r="D1478" s="128">
        <v>0</v>
      </c>
      <c r="E1478" s="128" t="s">
        <v>1050</v>
      </c>
      <c r="F1478" s="29" t="s">
        <v>1050</v>
      </c>
      <c r="G1478" s="56" t="str">
        <f t="shared" ca="1" si="213"/>
        <v/>
      </c>
      <c r="H1478" s="28" t="str">
        <f t="shared" ca="1" si="214"/>
        <v/>
      </c>
      <c r="J1478" s="38" t="str">
        <f t="shared" si="210"/>
        <v xml:space="preserve"> </v>
      </c>
      <c r="K1478" s="39">
        <f t="shared" si="211"/>
        <v>0</v>
      </c>
      <c r="L1478" s="39" t="str">
        <f t="shared" si="212"/>
        <v/>
      </c>
      <c r="M1478" s="40" t="str">
        <f t="shared" si="215"/>
        <v xml:space="preserve"> </v>
      </c>
      <c r="N1478" s="41" t="str">
        <f t="shared" ca="1" si="216"/>
        <v/>
      </c>
      <c r="O1478" s="41" t="str">
        <f t="shared" si="217"/>
        <v xml:space="preserve"> </v>
      </c>
      <c r="P1478" s="60">
        <f t="shared" si="218"/>
        <v>0</v>
      </c>
      <c r="Q1478" s="61"/>
    </row>
    <row r="1479" spans="1:17" ht="13">
      <c r="A1479" s="28">
        <v>0</v>
      </c>
      <c r="B1479" s="28" t="s">
        <v>1053</v>
      </c>
      <c r="C1479" s="129" t="s">
        <v>1050</v>
      </c>
      <c r="D1479" s="128">
        <v>0</v>
      </c>
      <c r="E1479" s="128" t="s">
        <v>1050</v>
      </c>
      <c r="F1479" s="29" t="s">
        <v>1050</v>
      </c>
      <c r="G1479" s="56" t="str">
        <f t="shared" ca="1" si="213"/>
        <v/>
      </c>
      <c r="H1479" s="28" t="str">
        <f t="shared" ca="1" si="214"/>
        <v/>
      </c>
      <c r="J1479" s="38" t="str">
        <f t="shared" si="210"/>
        <v xml:space="preserve"> </v>
      </c>
      <c r="K1479" s="39">
        <f t="shared" si="211"/>
        <v>0</v>
      </c>
      <c r="L1479" s="39" t="str">
        <f t="shared" si="212"/>
        <v/>
      </c>
      <c r="M1479" s="40" t="str">
        <f t="shared" si="215"/>
        <v xml:space="preserve"> </v>
      </c>
      <c r="N1479" s="41" t="str">
        <f t="shared" ca="1" si="216"/>
        <v/>
      </c>
      <c r="O1479" s="41" t="str">
        <f t="shared" si="217"/>
        <v xml:space="preserve"> </v>
      </c>
      <c r="P1479" s="60">
        <f t="shared" si="218"/>
        <v>0</v>
      </c>
      <c r="Q1479" s="61"/>
    </row>
    <row r="1480" spans="1:17" ht="13">
      <c r="A1480" s="28">
        <v>0</v>
      </c>
      <c r="B1480" s="28" t="s">
        <v>1053</v>
      </c>
      <c r="C1480" s="129" t="s">
        <v>1050</v>
      </c>
      <c r="D1480" s="128">
        <v>0</v>
      </c>
      <c r="E1480" s="128" t="s">
        <v>1050</v>
      </c>
      <c r="F1480" s="29" t="s">
        <v>1050</v>
      </c>
      <c r="G1480" s="56" t="str">
        <f t="shared" ca="1" si="213"/>
        <v/>
      </c>
      <c r="H1480" s="28" t="str">
        <f t="shared" ca="1" si="214"/>
        <v/>
      </c>
      <c r="J1480" s="38" t="str">
        <f t="shared" si="210"/>
        <v xml:space="preserve"> </v>
      </c>
      <c r="K1480" s="39">
        <f t="shared" si="211"/>
        <v>0</v>
      </c>
      <c r="L1480" s="39" t="str">
        <f t="shared" si="212"/>
        <v/>
      </c>
      <c r="M1480" s="40" t="str">
        <f t="shared" si="215"/>
        <v xml:space="preserve"> </v>
      </c>
      <c r="N1480" s="41" t="str">
        <f t="shared" ca="1" si="216"/>
        <v/>
      </c>
      <c r="O1480" s="41" t="str">
        <f t="shared" si="217"/>
        <v xml:space="preserve"> </v>
      </c>
      <c r="P1480" s="60">
        <f t="shared" si="218"/>
        <v>0</v>
      </c>
      <c r="Q1480" s="61"/>
    </row>
    <row r="1481" spans="1:17" ht="13">
      <c r="A1481" s="28">
        <v>0</v>
      </c>
      <c r="B1481" s="28" t="s">
        <v>1053</v>
      </c>
      <c r="C1481" s="129" t="s">
        <v>1050</v>
      </c>
      <c r="D1481" s="128">
        <v>0</v>
      </c>
      <c r="E1481" s="128" t="s">
        <v>1050</v>
      </c>
      <c r="F1481" s="29" t="s">
        <v>1050</v>
      </c>
      <c r="G1481" s="56" t="str">
        <f t="shared" ca="1" si="213"/>
        <v/>
      </c>
      <c r="H1481" s="28" t="str">
        <f t="shared" ca="1" si="214"/>
        <v/>
      </c>
      <c r="J1481" s="38" t="str">
        <f t="shared" si="210"/>
        <v xml:space="preserve"> </v>
      </c>
      <c r="K1481" s="39">
        <f t="shared" si="211"/>
        <v>0</v>
      </c>
      <c r="L1481" s="39" t="str">
        <f t="shared" si="212"/>
        <v/>
      </c>
      <c r="M1481" s="40" t="str">
        <f t="shared" si="215"/>
        <v xml:space="preserve"> </v>
      </c>
      <c r="N1481" s="41" t="str">
        <f t="shared" ca="1" si="216"/>
        <v/>
      </c>
      <c r="O1481" s="41" t="str">
        <f t="shared" si="217"/>
        <v xml:space="preserve"> </v>
      </c>
      <c r="P1481" s="60">
        <f t="shared" si="218"/>
        <v>0</v>
      </c>
      <c r="Q1481" s="61"/>
    </row>
    <row r="1482" spans="1:17" ht="13">
      <c r="A1482" s="28">
        <v>0</v>
      </c>
      <c r="B1482" s="28" t="s">
        <v>1053</v>
      </c>
      <c r="C1482" s="129" t="s">
        <v>1050</v>
      </c>
      <c r="D1482" s="128">
        <v>0</v>
      </c>
      <c r="E1482" s="128" t="s">
        <v>1050</v>
      </c>
      <c r="F1482" s="29" t="s">
        <v>1050</v>
      </c>
      <c r="G1482" s="56" t="str">
        <f t="shared" ca="1" si="213"/>
        <v/>
      </c>
      <c r="H1482" s="28" t="str">
        <f t="shared" ca="1" si="214"/>
        <v/>
      </c>
      <c r="J1482" s="38" t="str">
        <f t="shared" si="210"/>
        <v xml:space="preserve"> </v>
      </c>
      <c r="K1482" s="39">
        <f t="shared" si="211"/>
        <v>0</v>
      </c>
      <c r="L1482" s="39" t="str">
        <f t="shared" si="212"/>
        <v/>
      </c>
      <c r="M1482" s="40" t="str">
        <f t="shared" si="215"/>
        <v xml:space="preserve"> </v>
      </c>
      <c r="N1482" s="41" t="str">
        <f t="shared" ca="1" si="216"/>
        <v/>
      </c>
      <c r="O1482" s="41" t="str">
        <f t="shared" si="217"/>
        <v xml:space="preserve"> </v>
      </c>
      <c r="P1482" s="60">
        <f t="shared" si="218"/>
        <v>0</v>
      </c>
      <c r="Q1482" s="61"/>
    </row>
    <row r="1483" spans="1:17" ht="13">
      <c r="A1483" s="28">
        <v>0</v>
      </c>
      <c r="B1483" s="28" t="s">
        <v>1053</v>
      </c>
      <c r="C1483" s="129" t="s">
        <v>1050</v>
      </c>
      <c r="D1483" s="128">
        <v>0</v>
      </c>
      <c r="E1483" s="128" t="s">
        <v>1050</v>
      </c>
      <c r="F1483" s="29" t="s">
        <v>1050</v>
      </c>
      <c r="G1483" s="56" t="str">
        <f t="shared" ca="1" si="213"/>
        <v/>
      </c>
      <c r="H1483" s="28" t="str">
        <f t="shared" ca="1" si="214"/>
        <v/>
      </c>
      <c r="J1483" s="38" t="str">
        <f t="shared" si="210"/>
        <v xml:space="preserve"> </v>
      </c>
      <c r="K1483" s="39">
        <f t="shared" si="211"/>
        <v>0</v>
      </c>
      <c r="L1483" s="39" t="str">
        <f t="shared" si="212"/>
        <v/>
      </c>
      <c r="M1483" s="40" t="str">
        <f t="shared" si="215"/>
        <v xml:space="preserve"> </v>
      </c>
      <c r="N1483" s="41" t="str">
        <f t="shared" ca="1" si="216"/>
        <v/>
      </c>
      <c r="O1483" s="41" t="str">
        <f t="shared" si="217"/>
        <v xml:space="preserve"> </v>
      </c>
      <c r="P1483" s="60">
        <f t="shared" si="218"/>
        <v>0</v>
      </c>
      <c r="Q1483" s="61"/>
    </row>
    <row r="1484" spans="1:17" ht="13">
      <c r="A1484" s="28">
        <v>0</v>
      </c>
      <c r="B1484" s="28" t="s">
        <v>1053</v>
      </c>
      <c r="C1484" s="129" t="s">
        <v>1050</v>
      </c>
      <c r="D1484" s="128">
        <v>0</v>
      </c>
      <c r="E1484" s="128" t="s">
        <v>1050</v>
      </c>
      <c r="F1484" s="29" t="s">
        <v>1050</v>
      </c>
      <c r="G1484" s="56" t="str">
        <f t="shared" ca="1" si="213"/>
        <v/>
      </c>
      <c r="H1484" s="28" t="str">
        <f t="shared" ca="1" si="214"/>
        <v/>
      </c>
      <c r="J1484" s="38" t="str">
        <f t="shared" si="210"/>
        <v xml:space="preserve"> </v>
      </c>
      <c r="K1484" s="39">
        <f t="shared" si="211"/>
        <v>0</v>
      </c>
      <c r="L1484" s="39" t="str">
        <f t="shared" si="212"/>
        <v/>
      </c>
      <c r="M1484" s="40" t="str">
        <f t="shared" si="215"/>
        <v xml:space="preserve"> </v>
      </c>
      <c r="N1484" s="41" t="str">
        <f t="shared" ca="1" si="216"/>
        <v/>
      </c>
      <c r="O1484" s="41" t="str">
        <f t="shared" si="217"/>
        <v xml:space="preserve"> </v>
      </c>
      <c r="P1484" s="60">
        <f t="shared" si="218"/>
        <v>0</v>
      </c>
      <c r="Q1484" s="61"/>
    </row>
    <row r="1485" spans="1:17" ht="13">
      <c r="A1485" s="28">
        <v>0</v>
      </c>
      <c r="B1485" s="28" t="s">
        <v>1053</v>
      </c>
      <c r="C1485" s="129" t="s">
        <v>1050</v>
      </c>
      <c r="D1485" s="128">
        <v>0</v>
      </c>
      <c r="E1485" s="128" t="s">
        <v>1050</v>
      </c>
      <c r="F1485" s="29" t="s">
        <v>1050</v>
      </c>
      <c r="G1485" s="56" t="str">
        <f t="shared" ca="1" si="213"/>
        <v/>
      </c>
      <c r="H1485" s="28" t="str">
        <f t="shared" ca="1" si="214"/>
        <v/>
      </c>
      <c r="J1485" s="38" t="str">
        <f t="shared" si="210"/>
        <v xml:space="preserve"> </v>
      </c>
      <c r="K1485" s="39">
        <f t="shared" si="211"/>
        <v>0</v>
      </c>
      <c r="L1485" s="39" t="str">
        <f t="shared" si="212"/>
        <v/>
      </c>
      <c r="M1485" s="40" t="str">
        <f t="shared" si="215"/>
        <v xml:space="preserve"> </v>
      </c>
      <c r="N1485" s="41" t="str">
        <f t="shared" ca="1" si="216"/>
        <v/>
      </c>
      <c r="O1485" s="41" t="str">
        <f t="shared" si="217"/>
        <v xml:space="preserve"> </v>
      </c>
      <c r="P1485" s="60">
        <f t="shared" si="218"/>
        <v>0</v>
      </c>
      <c r="Q1485" s="61"/>
    </row>
    <row r="1486" spans="1:17" ht="13">
      <c r="A1486" s="28">
        <v>0</v>
      </c>
      <c r="B1486" s="28" t="s">
        <v>1053</v>
      </c>
      <c r="C1486" s="129" t="s">
        <v>1050</v>
      </c>
      <c r="D1486" s="128">
        <v>0</v>
      </c>
      <c r="E1486" s="128" t="s">
        <v>1050</v>
      </c>
      <c r="F1486" s="29" t="s">
        <v>1050</v>
      </c>
      <c r="G1486" s="56" t="str">
        <f t="shared" ca="1" si="213"/>
        <v/>
      </c>
      <c r="H1486" s="28" t="str">
        <f t="shared" ca="1" si="214"/>
        <v/>
      </c>
      <c r="J1486" s="38" t="str">
        <f t="shared" si="210"/>
        <v xml:space="preserve"> </v>
      </c>
      <c r="K1486" s="39">
        <f t="shared" si="211"/>
        <v>0</v>
      </c>
      <c r="L1486" s="39" t="str">
        <f t="shared" si="212"/>
        <v/>
      </c>
      <c r="M1486" s="40" t="str">
        <f t="shared" si="215"/>
        <v xml:space="preserve"> </v>
      </c>
      <c r="N1486" s="41" t="str">
        <f t="shared" ca="1" si="216"/>
        <v/>
      </c>
      <c r="O1486" s="41" t="str">
        <f t="shared" si="217"/>
        <v xml:space="preserve"> </v>
      </c>
      <c r="P1486" s="60">
        <f t="shared" si="218"/>
        <v>0</v>
      </c>
      <c r="Q1486" s="61"/>
    </row>
    <row r="1487" spans="1:17" ht="13">
      <c r="A1487" s="28">
        <v>0</v>
      </c>
      <c r="B1487" s="28" t="s">
        <v>1053</v>
      </c>
      <c r="C1487" s="129" t="s">
        <v>1050</v>
      </c>
      <c r="D1487" s="128">
        <v>0</v>
      </c>
      <c r="E1487" s="128" t="s">
        <v>1050</v>
      </c>
      <c r="F1487" s="29" t="s">
        <v>1050</v>
      </c>
      <c r="G1487" s="56" t="str">
        <f t="shared" ca="1" si="213"/>
        <v/>
      </c>
      <c r="H1487" s="28" t="str">
        <f t="shared" ca="1" si="214"/>
        <v/>
      </c>
      <c r="J1487" s="38" t="str">
        <f t="shared" si="210"/>
        <v xml:space="preserve"> </v>
      </c>
      <c r="K1487" s="39">
        <f t="shared" si="211"/>
        <v>0</v>
      </c>
      <c r="L1487" s="39" t="str">
        <f t="shared" si="212"/>
        <v/>
      </c>
      <c r="M1487" s="40" t="str">
        <f t="shared" si="215"/>
        <v xml:space="preserve"> </v>
      </c>
      <c r="N1487" s="41" t="str">
        <f t="shared" ca="1" si="216"/>
        <v/>
      </c>
      <c r="O1487" s="41" t="str">
        <f t="shared" si="217"/>
        <v xml:space="preserve"> </v>
      </c>
      <c r="P1487" s="60">
        <f t="shared" si="218"/>
        <v>0</v>
      </c>
      <c r="Q1487" s="61"/>
    </row>
    <row r="1488" spans="1:17" ht="13">
      <c r="A1488" s="28">
        <v>0</v>
      </c>
      <c r="B1488" s="28" t="s">
        <v>1053</v>
      </c>
      <c r="C1488" s="129" t="s">
        <v>1050</v>
      </c>
      <c r="D1488" s="128">
        <v>0</v>
      </c>
      <c r="E1488" s="128" t="s">
        <v>1050</v>
      </c>
      <c r="F1488" s="29" t="s">
        <v>1050</v>
      </c>
      <c r="G1488" s="56" t="str">
        <f t="shared" ca="1" si="213"/>
        <v/>
      </c>
      <c r="H1488" s="28" t="str">
        <f t="shared" ca="1" si="214"/>
        <v/>
      </c>
      <c r="J1488" s="38" t="str">
        <f t="shared" si="210"/>
        <v xml:space="preserve"> </v>
      </c>
      <c r="K1488" s="39">
        <f t="shared" si="211"/>
        <v>0</v>
      </c>
      <c r="L1488" s="39" t="str">
        <f t="shared" si="212"/>
        <v/>
      </c>
      <c r="M1488" s="40" t="str">
        <f t="shared" si="215"/>
        <v xml:space="preserve"> </v>
      </c>
      <c r="N1488" s="41" t="str">
        <f t="shared" ca="1" si="216"/>
        <v/>
      </c>
      <c r="O1488" s="41" t="str">
        <f t="shared" si="217"/>
        <v xml:space="preserve"> </v>
      </c>
      <c r="P1488" s="60">
        <f t="shared" si="218"/>
        <v>0</v>
      </c>
      <c r="Q1488" s="61"/>
    </row>
    <row r="1489" spans="1:17" ht="13">
      <c r="A1489" s="28">
        <v>0</v>
      </c>
      <c r="B1489" s="28" t="s">
        <v>1053</v>
      </c>
      <c r="C1489" s="129" t="s">
        <v>1050</v>
      </c>
      <c r="D1489" s="128">
        <v>0</v>
      </c>
      <c r="E1489" s="128" t="s">
        <v>1050</v>
      </c>
      <c r="F1489" s="29" t="s">
        <v>1050</v>
      </c>
      <c r="G1489" s="56" t="str">
        <f t="shared" ca="1" si="213"/>
        <v/>
      </c>
      <c r="H1489" s="28" t="str">
        <f t="shared" ca="1" si="214"/>
        <v/>
      </c>
      <c r="J1489" s="38" t="str">
        <f t="shared" si="210"/>
        <v xml:space="preserve"> </v>
      </c>
      <c r="K1489" s="39">
        <f t="shared" si="211"/>
        <v>0</v>
      </c>
      <c r="L1489" s="39" t="str">
        <f t="shared" si="212"/>
        <v/>
      </c>
      <c r="M1489" s="40" t="str">
        <f t="shared" si="215"/>
        <v xml:space="preserve"> </v>
      </c>
      <c r="N1489" s="41" t="str">
        <f t="shared" ca="1" si="216"/>
        <v/>
      </c>
      <c r="O1489" s="41" t="str">
        <f t="shared" si="217"/>
        <v xml:space="preserve"> </v>
      </c>
      <c r="P1489" s="60">
        <f t="shared" si="218"/>
        <v>0</v>
      </c>
      <c r="Q1489" s="61"/>
    </row>
    <row r="1490" spans="1:17" ht="13">
      <c r="A1490" s="28">
        <v>0</v>
      </c>
      <c r="B1490" s="28" t="s">
        <v>1053</v>
      </c>
      <c r="C1490" s="129" t="s">
        <v>1050</v>
      </c>
      <c r="D1490" s="128">
        <v>0</v>
      </c>
      <c r="E1490" s="128" t="s">
        <v>1050</v>
      </c>
      <c r="F1490" s="29" t="s">
        <v>1050</v>
      </c>
      <c r="G1490" s="56" t="str">
        <f t="shared" ca="1" si="213"/>
        <v/>
      </c>
      <c r="H1490" s="28" t="str">
        <f t="shared" ca="1" si="214"/>
        <v/>
      </c>
      <c r="J1490" s="38" t="str">
        <f t="shared" si="210"/>
        <v xml:space="preserve"> </v>
      </c>
      <c r="K1490" s="39">
        <f t="shared" si="211"/>
        <v>0</v>
      </c>
      <c r="L1490" s="39" t="str">
        <f t="shared" si="212"/>
        <v/>
      </c>
      <c r="M1490" s="40" t="str">
        <f t="shared" si="215"/>
        <v xml:space="preserve"> </v>
      </c>
      <c r="N1490" s="41" t="str">
        <f t="shared" ca="1" si="216"/>
        <v/>
      </c>
      <c r="O1490" s="41" t="str">
        <f t="shared" si="217"/>
        <v xml:space="preserve"> </v>
      </c>
      <c r="P1490" s="60">
        <f t="shared" si="218"/>
        <v>0</v>
      </c>
      <c r="Q1490" s="61"/>
    </row>
    <row r="1491" spans="1:17" ht="13">
      <c r="A1491" s="28">
        <v>0</v>
      </c>
      <c r="B1491" s="28" t="s">
        <v>1053</v>
      </c>
      <c r="C1491" s="129" t="s">
        <v>1050</v>
      </c>
      <c r="D1491" s="128">
        <v>0</v>
      </c>
      <c r="E1491" s="128" t="s">
        <v>1050</v>
      </c>
      <c r="F1491" s="29" t="s">
        <v>1050</v>
      </c>
      <c r="G1491" s="56" t="str">
        <f t="shared" ca="1" si="213"/>
        <v/>
      </c>
      <c r="H1491" s="28" t="str">
        <f t="shared" ca="1" si="214"/>
        <v/>
      </c>
      <c r="J1491" s="38" t="str">
        <f t="shared" si="210"/>
        <v xml:space="preserve"> </v>
      </c>
      <c r="K1491" s="39">
        <f t="shared" si="211"/>
        <v>0</v>
      </c>
      <c r="L1491" s="39" t="str">
        <f t="shared" si="212"/>
        <v/>
      </c>
      <c r="M1491" s="40" t="str">
        <f t="shared" si="215"/>
        <v xml:space="preserve"> </v>
      </c>
      <c r="N1491" s="41" t="str">
        <f t="shared" ca="1" si="216"/>
        <v/>
      </c>
      <c r="O1491" s="41" t="str">
        <f t="shared" si="217"/>
        <v xml:space="preserve"> </v>
      </c>
      <c r="P1491" s="60">
        <f t="shared" si="218"/>
        <v>0</v>
      </c>
      <c r="Q1491" s="61"/>
    </row>
    <row r="1492" spans="1:17" ht="13">
      <c r="A1492" s="28">
        <v>0</v>
      </c>
      <c r="B1492" s="28" t="s">
        <v>1053</v>
      </c>
      <c r="C1492" s="129" t="s">
        <v>1050</v>
      </c>
      <c r="D1492" s="128">
        <v>0</v>
      </c>
      <c r="E1492" s="128" t="s">
        <v>1050</v>
      </c>
      <c r="F1492" s="29" t="s">
        <v>1050</v>
      </c>
      <c r="G1492" s="56" t="str">
        <f t="shared" ca="1" si="213"/>
        <v/>
      </c>
      <c r="H1492" s="28" t="str">
        <f t="shared" ca="1" si="214"/>
        <v/>
      </c>
      <c r="J1492" s="38" t="str">
        <f t="shared" si="210"/>
        <v xml:space="preserve"> </v>
      </c>
      <c r="K1492" s="39">
        <f t="shared" si="211"/>
        <v>0</v>
      </c>
      <c r="L1492" s="39" t="str">
        <f t="shared" si="212"/>
        <v/>
      </c>
      <c r="M1492" s="40" t="str">
        <f t="shared" si="215"/>
        <v xml:space="preserve"> </v>
      </c>
      <c r="N1492" s="41" t="str">
        <f t="shared" ca="1" si="216"/>
        <v/>
      </c>
      <c r="O1492" s="41" t="str">
        <f t="shared" si="217"/>
        <v xml:space="preserve"> </v>
      </c>
      <c r="P1492" s="60">
        <f t="shared" si="218"/>
        <v>0</v>
      </c>
      <c r="Q1492" s="61"/>
    </row>
    <row r="1493" spans="1:17" ht="13">
      <c r="A1493" s="28">
        <v>0</v>
      </c>
      <c r="B1493" s="28" t="s">
        <v>1053</v>
      </c>
      <c r="C1493" s="129" t="s">
        <v>1050</v>
      </c>
      <c r="D1493" s="128">
        <v>0</v>
      </c>
      <c r="E1493" s="128" t="s">
        <v>1050</v>
      </c>
      <c r="F1493" s="29" t="s">
        <v>1050</v>
      </c>
      <c r="G1493" s="56" t="str">
        <f t="shared" ca="1" si="213"/>
        <v/>
      </c>
      <c r="H1493" s="28" t="str">
        <f t="shared" ca="1" si="214"/>
        <v/>
      </c>
      <c r="J1493" s="38" t="str">
        <f t="shared" si="210"/>
        <v xml:space="preserve"> </v>
      </c>
      <c r="K1493" s="39">
        <f t="shared" si="211"/>
        <v>0</v>
      </c>
      <c r="L1493" s="39" t="str">
        <f t="shared" si="212"/>
        <v/>
      </c>
      <c r="M1493" s="40" t="str">
        <f t="shared" si="215"/>
        <v xml:space="preserve"> </v>
      </c>
      <c r="N1493" s="41" t="str">
        <f t="shared" ca="1" si="216"/>
        <v/>
      </c>
      <c r="O1493" s="41" t="str">
        <f t="shared" si="217"/>
        <v xml:space="preserve"> </v>
      </c>
      <c r="P1493" s="60">
        <f t="shared" si="218"/>
        <v>0</v>
      </c>
      <c r="Q1493" s="61"/>
    </row>
    <row r="1494" spans="1:17" ht="13">
      <c r="A1494" s="28">
        <v>0</v>
      </c>
      <c r="B1494" s="28" t="s">
        <v>1053</v>
      </c>
      <c r="C1494" s="129" t="s">
        <v>1050</v>
      </c>
      <c r="D1494" s="128">
        <v>0</v>
      </c>
      <c r="E1494" s="128" t="s">
        <v>1050</v>
      </c>
      <c r="F1494" s="29" t="s">
        <v>1050</v>
      </c>
      <c r="G1494" s="56" t="str">
        <f t="shared" ca="1" si="213"/>
        <v/>
      </c>
      <c r="H1494" s="28" t="str">
        <f t="shared" ca="1" si="214"/>
        <v/>
      </c>
      <c r="J1494" s="38" t="str">
        <f t="shared" si="210"/>
        <v xml:space="preserve"> </v>
      </c>
      <c r="K1494" s="39">
        <f t="shared" si="211"/>
        <v>0</v>
      </c>
      <c r="L1494" s="39" t="str">
        <f t="shared" si="212"/>
        <v/>
      </c>
      <c r="M1494" s="40" t="str">
        <f t="shared" si="215"/>
        <v xml:space="preserve"> </v>
      </c>
      <c r="N1494" s="41" t="str">
        <f t="shared" ca="1" si="216"/>
        <v/>
      </c>
      <c r="O1494" s="41" t="str">
        <f t="shared" si="217"/>
        <v xml:space="preserve"> </v>
      </c>
      <c r="P1494" s="60">
        <f t="shared" si="218"/>
        <v>0</v>
      </c>
      <c r="Q1494" s="61"/>
    </row>
    <row r="1495" spans="1:17" ht="13">
      <c r="A1495" s="28">
        <v>0</v>
      </c>
      <c r="B1495" s="28" t="s">
        <v>1053</v>
      </c>
      <c r="C1495" s="129" t="s">
        <v>1050</v>
      </c>
      <c r="D1495" s="128">
        <v>0</v>
      </c>
      <c r="E1495" s="128" t="s">
        <v>1050</v>
      </c>
      <c r="F1495" s="29" t="s">
        <v>1050</v>
      </c>
      <c r="G1495" s="56" t="str">
        <f t="shared" ca="1" si="213"/>
        <v/>
      </c>
      <c r="H1495" s="28" t="str">
        <f t="shared" ca="1" si="214"/>
        <v/>
      </c>
      <c r="J1495" s="38" t="str">
        <f t="shared" si="210"/>
        <v xml:space="preserve"> </v>
      </c>
      <c r="K1495" s="39">
        <f t="shared" si="211"/>
        <v>0</v>
      </c>
      <c r="L1495" s="39" t="str">
        <f t="shared" si="212"/>
        <v/>
      </c>
      <c r="M1495" s="40" t="str">
        <f t="shared" si="215"/>
        <v xml:space="preserve"> </v>
      </c>
      <c r="N1495" s="41" t="str">
        <f t="shared" ca="1" si="216"/>
        <v/>
      </c>
      <c r="O1495" s="41" t="str">
        <f t="shared" si="217"/>
        <v xml:space="preserve"> </v>
      </c>
      <c r="P1495" s="60">
        <f t="shared" si="218"/>
        <v>0</v>
      </c>
      <c r="Q1495" s="61"/>
    </row>
    <row r="1496" spans="1:17" ht="13">
      <c r="A1496" s="28">
        <v>0</v>
      </c>
      <c r="B1496" s="28" t="s">
        <v>1053</v>
      </c>
      <c r="C1496" s="129" t="s">
        <v>1050</v>
      </c>
      <c r="D1496" s="128">
        <v>0</v>
      </c>
      <c r="E1496" s="128" t="s">
        <v>1050</v>
      </c>
      <c r="F1496" s="29" t="s">
        <v>1050</v>
      </c>
      <c r="G1496" s="56" t="str">
        <f t="shared" ca="1" si="213"/>
        <v/>
      </c>
      <c r="H1496" s="28" t="str">
        <f t="shared" ca="1" si="214"/>
        <v/>
      </c>
      <c r="J1496" s="38" t="str">
        <f t="shared" si="210"/>
        <v xml:space="preserve"> </v>
      </c>
      <c r="K1496" s="39">
        <f t="shared" si="211"/>
        <v>0</v>
      </c>
      <c r="L1496" s="39" t="str">
        <f t="shared" si="212"/>
        <v/>
      </c>
      <c r="M1496" s="40" t="str">
        <f t="shared" si="215"/>
        <v xml:space="preserve"> </v>
      </c>
      <c r="N1496" s="41" t="str">
        <f t="shared" ca="1" si="216"/>
        <v/>
      </c>
      <c r="O1496" s="41" t="str">
        <f t="shared" si="217"/>
        <v xml:space="preserve"> </v>
      </c>
      <c r="P1496" s="60">
        <f t="shared" si="218"/>
        <v>0</v>
      </c>
      <c r="Q1496" s="61"/>
    </row>
    <row r="1497" spans="1:17" ht="13">
      <c r="A1497" s="28">
        <v>0</v>
      </c>
      <c r="B1497" s="28" t="s">
        <v>1053</v>
      </c>
      <c r="C1497" s="129" t="s">
        <v>1050</v>
      </c>
      <c r="D1497" s="128">
        <v>0</v>
      </c>
      <c r="E1497" s="128" t="s">
        <v>1050</v>
      </c>
      <c r="F1497" s="29" t="s">
        <v>1050</v>
      </c>
      <c r="G1497" s="56" t="str">
        <f t="shared" ca="1" si="213"/>
        <v/>
      </c>
      <c r="H1497" s="28" t="str">
        <f t="shared" ca="1" si="214"/>
        <v/>
      </c>
      <c r="J1497" s="38" t="str">
        <f t="shared" si="210"/>
        <v xml:space="preserve"> </v>
      </c>
      <c r="K1497" s="39">
        <f t="shared" si="211"/>
        <v>0</v>
      </c>
      <c r="L1497" s="39" t="str">
        <f t="shared" si="212"/>
        <v/>
      </c>
      <c r="M1497" s="40" t="str">
        <f t="shared" si="215"/>
        <v xml:space="preserve"> </v>
      </c>
      <c r="N1497" s="41" t="str">
        <f t="shared" ca="1" si="216"/>
        <v/>
      </c>
      <c r="O1497" s="41" t="str">
        <f t="shared" si="217"/>
        <v xml:space="preserve"> </v>
      </c>
      <c r="P1497" s="60">
        <f t="shared" si="218"/>
        <v>0</v>
      </c>
      <c r="Q1497" s="61"/>
    </row>
    <row r="1498" spans="1:17" ht="13">
      <c r="A1498" s="28">
        <v>0</v>
      </c>
      <c r="B1498" s="28" t="s">
        <v>1053</v>
      </c>
      <c r="C1498" s="129" t="s">
        <v>1050</v>
      </c>
      <c r="D1498" s="128">
        <v>0</v>
      </c>
      <c r="E1498" s="128" t="s">
        <v>1050</v>
      </c>
      <c r="F1498" s="29" t="s">
        <v>1050</v>
      </c>
      <c r="G1498" s="56" t="str">
        <f t="shared" ca="1" si="213"/>
        <v/>
      </c>
      <c r="H1498" s="28" t="str">
        <f t="shared" ca="1" si="214"/>
        <v/>
      </c>
      <c r="J1498" s="38" t="str">
        <f t="shared" si="210"/>
        <v xml:space="preserve"> </v>
      </c>
      <c r="K1498" s="39">
        <f t="shared" si="211"/>
        <v>0</v>
      </c>
      <c r="L1498" s="39" t="str">
        <f t="shared" si="212"/>
        <v/>
      </c>
      <c r="M1498" s="40" t="str">
        <f t="shared" si="215"/>
        <v xml:space="preserve"> </v>
      </c>
      <c r="N1498" s="41" t="str">
        <f t="shared" ca="1" si="216"/>
        <v/>
      </c>
      <c r="O1498" s="41" t="str">
        <f t="shared" si="217"/>
        <v xml:space="preserve"> </v>
      </c>
      <c r="P1498" s="60">
        <f t="shared" si="218"/>
        <v>0</v>
      </c>
      <c r="Q1498" s="61"/>
    </row>
    <row r="1499" spans="1:17" ht="13">
      <c r="A1499" s="28">
        <v>0</v>
      </c>
      <c r="B1499" s="28" t="s">
        <v>1053</v>
      </c>
      <c r="C1499" s="129" t="s">
        <v>1050</v>
      </c>
      <c r="D1499" s="128">
        <v>0</v>
      </c>
      <c r="E1499" s="128" t="s">
        <v>1050</v>
      </c>
      <c r="F1499" s="29" t="s">
        <v>1050</v>
      </c>
      <c r="G1499" s="56" t="str">
        <f t="shared" ca="1" si="213"/>
        <v/>
      </c>
      <c r="H1499" s="28" t="str">
        <f t="shared" ca="1" si="214"/>
        <v/>
      </c>
      <c r="J1499" s="38" t="str">
        <f t="shared" si="210"/>
        <v xml:space="preserve"> </v>
      </c>
      <c r="K1499" s="39">
        <f t="shared" si="211"/>
        <v>0</v>
      </c>
      <c r="L1499" s="39" t="str">
        <f t="shared" si="212"/>
        <v/>
      </c>
      <c r="M1499" s="40" t="str">
        <f t="shared" si="215"/>
        <v xml:space="preserve"> </v>
      </c>
      <c r="N1499" s="41" t="str">
        <f t="shared" ca="1" si="216"/>
        <v/>
      </c>
      <c r="O1499" s="41" t="str">
        <f t="shared" si="217"/>
        <v xml:space="preserve"> </v>
      </c>
      <c r="P1499" s="60">
        <f t="shared" si="218"/>
        <v>0</v>
      </c>
      <c r="Q1499" s="61"/>
    </row>
    <row r="1500" spans="1:17" ht="13">
      <c r="A1500" s="28">
        <v>0</v>
      </c>
      <c r="B1500" s="28" t="s">
        <v>1053</v>
      </c>
      <c r="C1500" s="129" t="s">
        <v>1050</v>
      </c>
      <c r="D1500" s="128">
        <v>0</v>
      </c>
      <c r="E1500" s="128" t="s">
        <v>1050</v>
      </c>
      <c r="F1500" s="29" t="s">
        <v>1050</v>
      </c>
      <c r="G1500" s="56" t="str">
        <f t="shared" ca="1" si="213"/>
        <v/>
      </c>
      <c r="H1500" s="28" t="str">
        <f t="shared" ca="1" si="214"/>
        <v/>
      </c>
      <c r="J1500" s="38" t="str">
        <f t="shared" si="210"/>
        <v xml:space="preserve"> </v>
      </c>
      <c r="K1500" s="39">
        <f t="shared" si="211"/>
        <v>0</v>
      </c>
      <c r="L1500" s="39" t="str">
        <f t="shared" si="212"/>
        <v/>
      </c>
      <c r="M1500" s="40" t="str">
        <f t="shared" si="215"/>
        <v xml:space="preserve"> </v>
      </c>
      <c r="N1500" s="41" t="str">
        <f t="shared" ca="1" si="216"/>
        <v/>
      </c>
      <c r="O1500" s="41" t="str">
        <f t="shared" si="217"/>
        <v xml:space="preserve"> </v>
      </c>
      <c r="P1500" s="60">
        <f t="shared" si="218"/>
        <v>0</v>
      </c>
      <c r="Q1500" s="61"/>
    </row>
    <row r="1501" spans="1:17" ht="13">
      <c r="A1501" s="28">
        <v>0</v>
      </c>
      <c r="B1501" s="28" t="s">
        <v>1053</v>
      </c>
      <c r="C1501" s="129" t="s">
        <v>1050</v>
      </c>
      <c r="D1501" s="128">
        <v>0</v>
      </c>
      <c r="E1501" s="128" t="s">
        <v>1050</v>
      </c>
      <c r="F1501" s="29" t="s">
        <v>1050</v>
      </c>
      <c r="G1501" s="56" t="str">
        <f t="shared" ca="1" si="213"/>
        <v/>
      </c>
      <c r="H1501" s="28" t="str">
        <f t="shared" ref="H1501:H1564" ca="1" si="219">IFERROR(IF($A1501&gt;0,ROUNDDOWN(INT(TODAY()-F1501)/365.25,0),""),"")</f>
        <v/>
      </c>
      <c r="J1501" s="38" t="str">
        <f t="shared" ref="J1501:J1564" si="220">C1501</f>
        <v xml:space="preserve"> </v>
      </c>
      <c r="K1501" s="39">
        <f t="shared" ref="K1501:K1564" si="221">A1501</f>
        <v>0</v>
      </c>
      <c r="L1501" s="39" t="str">
        <f t="shared" ref="L1501:L1564" si="222">B1501</f>
        <v/>
      </c>
      <c r="M1501" s="40" t="str">
        <f t="shared" ref="M1501:M1564" si="223">F1501</f>
        <v xml:space="preserve"> </v>
      </c>
      <c r="N1501" s="41" t="str">
        <f t="shared" ref="N1501:N1564" ca="1" si="224">G1501</f>
        <v/>
      </c>
      <c r="O1501" s="41" t="str">
        <f t="shared" ref="O1501:O1564" si="225">E1501</f>
        <v xml:space="preserve"> </v>
      </c>
      <c r="P1501" s="60">
        <f t="shared" ref="P1501:P1564" si="226">D1501</f>
        <v>0</v>
      </c>
      <c r="Q1501" s="61"/>
    </row>
    <row r="1502" spans="1:17" ht="13">
      <c r="A1502" s="28">
        <v>0</v>
      </c>
      <c r="B1502" s="28" t="s">
        <v>1053</v>
      </c>
      <c r="C1502" s="129" t="s">
        <v>1050</v>
      </c>
      <c r="D1502" s="128">
        <v>0</v>
      </c>
      <c r="E1502" s="128" t="s">
        <v>1050</v>
      </c>
      <c r="F1502" s="29" t="s">
        <v>1050</v>
      </c>
      <c r="G1502" s="56" t="str">
        <f t="shared" ca="1" si="213"/>
        <v/>
      </c>
      <c r="H1502" s="28" t="str">
        <f t="shared" ca="1" si="219"/>
        <v/>
      </c>
      <c r="J1502" s="38" t="str">
        <f t="shared" si="220"/>
        <v xml:space="preserve"> </v>
      </c>
      <c r="K1502" s="39">
        <f t="shared" si="221"/>
        <v>0</v>
      </c>
      <c r="L1502" s="39" t="str">
        <f t="shared" si="222"/>
        <v/>
      </c>
      <c r="M1502" s="40" t="str">
        <f t="shared" si="223"/>
        <v xml:space="preserve"> </v>
      </c>
      <c r="N1502" s="41" t="str">
        <f t="shared" ca="1" si="224"/>
        <v/>
      </c>
      <c r="O1502" s="41" t="str">
        <f t="shared" si="225"/>
        <v xml:space="preserve"> </v>
      </c>
      <c r="P1502" s="60">
        <f t="shared" si="226"/>
        <v>0</v>
      </c>
      <c r="Q1502" s="61"/>
    </row>
    <row r="1503" spans="1:17" ht="13">
      <c r="A1503" s="28">
        <v>0</v>
      </c>
      <c r="B1503" s="28" t="s">
        <v>1053</v>
      </c>
      <c r="C1503" s="129" t="s">
        <v>1050</v>
      </c>
      <c r="D1503" s="128">
        <v>0</v>
      </c>
      <c r="E1503" s="128" t="s">
        <v>1050</v>
      </c>
      <c r="F1503" s="29" t="s">
        <v>1050</v>
      </c>
      <c r="G1503" s="56" t="str">
        <f t="shared" ca="1" si="213"/>
        <v/>
      </c>
      <c r="H1503" s="28" t="str">
        <f t="shared" ca="1" si="219"/>
        <v/>
      </c>
      <c r="J1503" s="38" t="str">
        <f t="shared" si="220"/>
        <v xml:space="preserve"> </v>
      </c>
      <c r="K1503" s="39">
        <f t="shared" si="221"/>
        <v>0</v>
      </c>
      <c r="L1503" s="39" t="str">
        <f t="shared" si="222"/>
        <v/>
      </c>
      <c r="M1503" s="40" t="str">
        <f t="shared" si="223"/>
        <v xml:space="preserve"> </v>
      </c>
      <c r="N1503" s="41" t="str">
        <f t="shared" ca="1" si="224"/>
        <v/>
      </c>
      <c r="O1503" s="41" t="str">
        <f t="shared" si="225"/>
        <v xml:space="preserve"> </v>
      </c>
      <c r="P1503" s="60">
        <f t="shared" si="226"/>
        <v>0</v>
      </c>
      <c r="Q1503" s="61"/>
    </row>
    <row r="1504" spans="1:17" ht="13">
      <c r="A1504" s="28">
        <v>0</v>
      </c>
      <c r="B1504" s="28" t="s">
        <v>1053</v>
      </c>
      <c r="C1504" s="129" t="s">
        <v>1050</v>
      </c>
      <c r="D1504" s="128">
        <v>0</v>
      </c>
      <c r="E1504" s="128" t="s">
        <v>1050</v>
      </c>
      <c r="F1504" s="29" t="s">
        <v>1050</v>
      </c>
      <c r="G1504" s="56" t="str">
        <f t="shared" ca="1" si="213"/>
        <v/>
      </c>
      <c r="H1504" s="28" t="str">
        <f t="shared" ca="1" si="219"/>
        <v/>
      </c>
      <c r="J1504" s="38" t="str">
        <f t="shared" si="220"/>
        <v xml:space="preserve"> </v>
      </c>
      <c r="K1504" s="39">
        <f t="shared" si="221"/>
        <v>0</v>
      </c>
      <c r="L1504" s="39" t="str">
        <f t="shared" si="222"/>
        <v/>
      </c>
      <c r="M1504" s="40" t="str">
        <f t="shared" si="223"/>
        <v xml:space="preserve"> </v>
      </c>
      <c r="N1504" s="41" t="str">
        <f t="shared" ca="1" si="224"/>
        <v/>
      </c>
      <c r="O1504" s="41" t="str">
        <f t="shared" si="225"/>
        <v xml:space="preserve"> </v>
      </c>
      <c r="P1504" s="60">
        <f t="shared" si="226"/>
        <v>0</v>
      </c>
      <c r="Q1504" s="61"/>
    </row>
    <row r="1505" spans="1:17" ht="13">
      <c r="A1505" s="28">
        <v>0</v>
      </c>
      <c r="B1505" s="28" t="s">
        <v>1053</v>
      </c>
      <c r="C1505" s="129" t="s">
        <v>1050</v>
      </c>
      <c r="D1505" s="128">
        <v>0</v>
      </c>
      <c r="E1505" s="128" t="s">
        <v>1050</v>
      </c>
      <c r="F1505" s="29" t="s">
        <v>1050</v>
      </c>
      <c r="G1505" s="56" t="str">
        <f t="shared" ca="1" si="213"/>
        <v/>
      </c>
      <c r="H1505" s="28" t="str">
        <f t="shared" ca="1" si="219"/>
        <v/>
      </c>
      <c r="J1505" s="38" t="str">
        <f t="shared" si="220"/>
        <v xml:space="preserve"> </v>
      </c>
      <c r="K1505" s="39">
        <f t="shared" si="221"/>
        <v>0</v>
      </c>
      <c r="L1505" s="39" t="str">
        <f t="shared" si="222"/>
        <v/>
      </c>
      <c r="M1505" s="40" t="str">
        <f t="shared" si="223"/>
        <v xml:space="preserve"> </v>
      </c>
      <c r="N1505" s="41" t="str">
        <f t="shared" ca="1" si="224"/>
        <v/>
      </c>
      <c r="O1505" s="41" t="str">
        <f t="shared" si="225"/>
        <v xml:space="preserve"> </v>
      </c>
      <c r="P1505" s="60">
        <f t="shared" si="226"/>
        <v>0</v>
      </c>
      <c r="Q1505" s="61"/>
    </row>
    <row r="1506" spans="1:17" ht="13">
      <c r="A1506" s="28">
        <v>0</v>
      </c>
      <c r="B1506" s="28" t="s">
        <v>1053</v>
      </c>
      <c r="C1506" s="129" t="s">
        <v>1050</v>
      </c>
      <c r="D1506" s="128">
        <v>0</v>
      </c>
      <c r="E1506" s="128" t="s">
        <v>1050</v>
      </c>
      <c r="F1506" s="29" t="s">
        <v>1050</v>
      </c>
      <c r="G1506" s="56" t="str">
        <f t="shared" ca="1" si="213"/>
        <v/>
      </c>
      <c r="H1506" s="28" t="str">
        <f t="shared" ca="1" si="219"/>
        <v/>
      </c>
      <c r="J1506" s="38" t="str">
        <f t="shared" si="220"/>
        <v xml:space="preserve"> </v>
      </c>
      <c r="K1506" s="39">
        <f t="shared" si="221"/>
        <v>0</v>
      </c>
      <c r="L1506" s="39" t="str">
        <f t="shared" si="222"/>
        <v/>
      </c>
      <c r="M1506" s="40" t="str">
        <f t="shared" si="223"/>
        <v xml:space="preserve"> </v>
      </c>
      <c r="N1506" s="41" t="str">
        <f t="shared" ca="1" si="224"/>
        <v/>
      </c>
      <c r="O1506" s="41" t="str">
        <f t="shared" si="225"/>
        <v xml:space="preserve"> </v>
      </c>
      <c r="P1506" s="60">
        <f t="shared" si="226"/>
        <v>0</v>
      </c>
      <c r="Q1506" s="61"/>
    </row>
    <row r="1507" spans="1:17" ht="13">
      <c r="A1507" s="28">
        <v>0</v>
      </c>
      <c r="B1507" s="28" t="s">
        <v>1053</v>
      </c>
      <c r="C1507" s="129" t="s">
        <v>1050</v>
      </c>
      <c r="D1507" s="128">
        <v>0</v>
      </c>
      <c r="E1507" s="128" t="s">
        <v>1050</v>
      </c>
      <c r="F1507" s="29" t="s">
        <v>1050</v>
      </c>
      <c r="G1507" s="56" t="str">
        <f t="shared" ca="1" si="213"/>
        <v/>
      </c>
      <c r="H1507" s="28" t="str">
        <f t="shared" ca="1" si="219"/>
        <v/>
      </c>
      <c r="J1507" s="38" t="str">
        <f t="shared" si="220"/>
        <v xml:space="preserve"> </v>
      </c>
      <c r="K1507" s="39">
        <f t="shared" si="221"/>
        <v>0</v>
      </c>
      <c r="L1507" s="39" t="str">
        <f t="shared" si="222"/>
        <v/>
      </c>
      <c r="M1507" s="40" t="str">
        <f t="shared" si="223"/>
        <v xml:space="preserve"> </v>
      </c>
      <c r="N1507" s="41" t="str">
        <f t="shared" ca="1" si="224"/>
        <v/>
      </c>
      <c r="O1507" s="41" t="str">
        <f t="shared" si="225"/>
        <v xml:space="preserve"> </v>
      </c>
      <c r="P1507" s="60">
        <f t="shared" si="226"/>
        <v>0</v>
      </c>
      <c r="Q1507" s="61"/>
    </row>
    <row r="1508" spans="1:17" ht="13">
      <c r="A1508" s="28">
        <v>0</v>
      </c>
      <c r="B1508" s="28" t="s">
        <v>1053</v>
      </c>
      <c r="C1508" s="129" t="s">
        <v>1050</v>
      </c>
      <c r="D1508" s="128">
        <v>0</v>
      </c>
      <c r="E1508" s="128" t="s">
        <v>1050</v>
      </c>
      <c r="F1508" s="29" t="s">
        <v>1050</v>
      </c>
      <c r="G1508" s="56" t="str">
        <f t="shared" ca="1" si="213"/>
        <v/>
      </c>
      <c r="H1508" s="28" t="str">
        <f t="shared" ca="1" si="219"/>
        <v/>
      </c>
      <c r="J1508" s="38" t="str">
        <f t="shared" si="220"/>
        <v xml:space="preserve"> </v>
      </c>
      <c r="K1508" s="39">
        <f t="shared" si="221"/>
        <v>0</v>
      </c>
      <c r="L1508" s="39" t="str">
        <f t="shared" si="222"/>
        <v/>
      </c>
      <c r="M1508" s="40" t="str">
        <f t="shared" si="223"/>
        <v xml:space="preserve"> </v>
      </c>
      <c r="N1508" s="41" t="str">
        <f t="shared" ca="1" si="224"/>
        <v/>
      </c>
      <c r="O1508" s="41" t="str">
        <f t="shared" si="225"/>
        <v xml:space="preserve"> </v>
      </c>
      <c r="P1508" s="60">
        <f t="shared" si="226"/>
        <v>0</v>
      </c>
      <c r="Q1508" s="61"/>
    </row>
    <row r="1509" spans="1:17" ht="13">
      <c r="A1509" s="28">
        <v>0</v>
      </c>
      <c r="B1509" s="28" t="s">
        <v>1053</v>
      </c>
      <c r="C1509" s="129" t="s">
        <v>1050</v>
      </c>
      <c r="D1509" s="128">
        <v>0</v>
      </c>
      <c r="E1509" s="128" t="s">
        <v>1050</v>
      </c>
      <c r="F1509" s="29" t="s">
        <v>1050</v>
      </c>
      <c r="G1509" s="56" t="str">
        <f t="shared" ca="1" si="213"/>
        <v/>
      </c>
      <c r="H1509" s="28" t="str">
        <f t="shared" ca="1" si="219"/>
        <v/>
      </c>
      <c r="J1509" s="38" t="str">
        <f t="shared" si="220"/>
        <v xml:space="preserve"> </v>
      </c>
      <c r="K1509" s="39">
        <f t="shared" si="221"/>
        <v>0</v>
      </c>
      <c r="L1509" s="39" t="str">
        <f t="shared" si="222"/>
        <v/>
      </c>
      <c r="M1509" s="40" t="str">
        <f t="shared" si="223"/>
        <v xml:space="preserve"> </v>
      </c>
      <c r="N1509" s="41" t="str">
        <f t="shared" ca="1" si="224"/>
        <v/>
      </c>
      <c r="O1509" s="41" t="str">
        <f t="shared" si="225"/>
        <v xml:space="preserve"> </v>
      </c>
      <c r="P1509" s="60">
        <f t="shared" si="226"/>
        <v>0</v>
      </c>
      <c r="Q1509" s="61"/>
    </row>
    <row r="1510" spans="1:17" ht="13">
      <c r="A1510" s="28">
        <v>0</v>
      </c>
      <c r="B1510" s="28" t="s">
        <v>1053</v>
      </c>
      <c r="C1510" s="129" t="s">
        <v>1050</v>
      </c>
      <c r="D1510" s="128">
        <v>0</v>
      </c>
      <c r="E1510" s="128" t="s">
        <v>1050</v>
      </c>
      <c r="F1510" s="29" t="s">
        <v>1050</v>
      </c>
      <c r="G1510" s="56" t="str">
        <f t="shared" ca="1" si="213"/>
        <v/>
      </c>
      <c r="H1510" s="28" t="str">
        <f t="shared" ca="1" si="219"/>
        <v/>
      </c>
      <c r="J1510" s="38" t="str">
        <f t="shared" si="220"/>
        <v xml:space="preserve"> </v>
      </c>
      <c r="K1510" s="39">
        <f t="shared" si="221"/>
        <v>0</v>
      </c>
      <c r="L1510" s="39" t="str">
        <f t="shared" si="222"/>
        <v/>
      </c>
      <c r="M1510" s="40" t="str">
        <f t="shared" si="223"/>
        <v xml:space="preserve"> </v>
      </c>
      <c r="N1510" s="41" t="str">
        <f t="shared" ca="1" si="224"/>
        <v/>
      </c>
      <c r="O1510" s="41" t="str">
        <f t="shared" si="225"/>
        <v xml:space="preserve"> </v>
      </c>
      <c r="P1510" s="60">
        <f t="shared" si="226"/>
        <v>0</v>
      </c>
      <c r="Q1510" s="61"/>
    </row>
    <row r="1511" spans="1:17" ht="13">
      <c r="A1511" s="28">
        <v>0</v>
      </c>
      <c r="B1511" s="28" t="s">
        <v>1053</v>
      </c>
      <c r="C1511" s="129" t="s">
        <v>1050</v>
      </c>
      <c r="D1511" s="128">
        <v>0</v>
      </c>
      <c r="E1511" s="128" t="s">
        <v>1050</v>
      </c>
      <c r="F1511" s="29" t="s">
        <v>1050</v>
      </c>
      <c r="G1511" s="56" t="str">
        <f t="shared" ca="1" si="213"/>
        <v/>
      </c>
      <c r="H1511" s="28" t="str">
        <f t="shared" ca="1" si="219"/>
        <v/>
      </c>
      <c r="J1511" s="38" t="str">
        <f t="shared" si="220"/>
        <v xml:space="preserve"> </v>
      </c>
      <c r="K1511" s="39">
        <f t="shared" si="221"/>
        <v>0</v>
      </c>
      <c r="L1511" s="39" t="str">
        <f t="shared" si="222"/>
        <v/>
      </c>
      <c r="M1511" s="40" t="str">
        <f t="shared" si="223"/>
        <v xml:space="preserve"> </v>
      </c>
      <c r="N1511" s="41" t="str">
        <f t="shared" ca="1" si="224"/>
        <v/>
      </c>
      <c r="O1511" s="41" t="str">
        <f t="shared" si="225"/>
        <v xml:space="preserve"> </v>
      </c>
      <c r="P1511" s="60">
        <f t="shared" si="226"/>
        <v>0</v>
      </c>
      <c r="Q1511" s="61"/>
    </row>
    <row r="1512" spans="1:17" ht="13">
      <c r="A1512" s="28">
        <v>0</v>
      </c>
      <c r="B1512" s="28" t="s">
        <v>1053</v>
      </c>
      <c r="C1512" s="129" t="s">
        <v>1050</v>
      </c>
      <c r="D1512" s="128">
        <v>0</v>
      </c>
      <c r="E1512" s="128" t="s">
        <v>1050</v>
      </c>
      <c r="F1512" s="29" t="s">
        <v>1050</v>
      </c>
      <c r="G1512" s="56" t="str">
        <f t="shared" ca="1" si="213"/>
        <v/>
      </c>
      <c r="H1512" s="28" t="str">
        <f t="shared" ca="1" si="219"/>
        <v/>
      </c>
      <c r="J1512" s="38" t="str">
        <f t="shared" si="220"/>
        <v xml:space="preserve"> </v>
      </c>
      <c r="K1512" s="39">
        <f t="shared" si="221"/>
        <v>0</v>
      </c>
      <c r="L1512" s="39" t="str">
        <f t="shared" si="222"/>
        <v/>
      </c>
      <c r="M1512" s="40" t="str">
        <f t="shared" si="223"/>
        <v xml:space="preserve"> </v>
      </c>
      <c r="N1512" s="41" t="str">
        <f t="shared" ca="1" si="224"/>
        <v/>
      </c>
      <c r="O1512" s="41" t="str">
        <f t="shared" si="225"/>
        <v xml:space="preserve"> </v>
      </c>
      <c r="P1512" s="60">
        <f t="shared" si="226"/>
        <v>0</v>
      </c>
      <c r="Q1512" s="61"/>
    </row>
    <row r="1513" spans="1:17" ht="13">
      <c r="A1513" s="28">
        <v>0</v>
      </c>
      <c r="B1513" s="28" t="s">
        <v>1053</v>
      </c>
      <c r="C1513" s="129" t="s">
        <v>1050</v>
      </c>
      <c r="D1513" s="128">
        <v>0</v>
      </c>
      <c r="E1513" s="128" t="s">
        <v>1050</v>
      </c>
      <c r="F1513" s="29" t="s">
        <v>1050</v>
      </c>
      <c r="G1513" s="56" t="str">
        <f t="shared" ca="1" si="213"/>
        <v/>
      </c>
      <c r="H1513" s="28" t="str">
        <f t="shared" ca="1" si="219"/>
        <v/>
      </c>
      <c r="J1513" s="38" t="str">
        <f t="shared" si="220"/>
        <v xml:space="preserve"> </v>
      </c>
      <c r="K1513" s="39">
        <f t="shared" si="221"/>
        <v>0</v>
      </c>
      <c r="L1513" s="39" t="str">
        <f t="shared" si="222"/>
        <v/>
      </c>
      <c r="M1513" s="40" t="str">
        <f t="shared" si="223"/>
        <v xml:space="preserve"> </v>
      </c>
      <c r="N1513" s="41" t="str">
        <f t="shared" ca="1" si="224"/>
        <v/>
      </c>
      <c r="O1513" s="41" t="str">
        <f t="shared" si="225"/>
        <v xml:space="preserve"> </v>
      </c>
      <c r="P1513" s="60">
        <f t="shared" si="226"/>
        <v>0</v>
      </c>
      <c r="Q1513" s="61"/>
    </row>
    <row r="1514" spans="1:17" ht="13">
      <c r="A1514" s="28">
        <v>0</v>
      </c>
      <c r="B1514" s="28" t="s">
        <v>1053</v>
      </c>
      <c r="C1514" s="129" t="s">
        <v>1050</v>
      </c>
      <c r="D1514" s="128">
        <v>0</v>
      </c>
      <c r="E1514" s="128" t="s">
        <v>1050</v>
      </c>
      <c r="F1514" s="29" t="s">
        <v>1050</v>
      </c>
      <c r="G1514" s="56" t="str">
        <f t="shared" ca="1" si="213"/>
        <v/>
      </c>
      <c r="H1514" s="28" t="str">
        <f t="shared" ca="1" si="219"/>
        <v/>
      </c>
      <c r="J1514" s="38" t="str">
        <f t="shared" si="220"/>
        <v xml:space="preserve"> </v>
      </c>
      <c r="K1514" s="39">
        <f t="shared" si="221"/>
        <v>0</v>
      </c>
      <c r="L1514" s="39" t="str">
        <f t="shared" si="222"/>
        <v/>
      </c>
      <c r="M1514" s="40" t="str">
        <f t="shared" si="223"/>
        <v xml:space="preserve"> </v>
      </c>
      <c r="N1514" s="41" t="str">
        <f t="shared" ca="1" si="224"/>
        <v/>
      </c>
      <c r="O1514" s="41" t="str">
        <f t="shared" si="225"/>
        <v xml:space="preserve"> </v>
      </c>
      <c r="P1514" s="60">
        <f t="shared" si="226"/>
        <v>0</v>
      </c>
      <c r="Q1514" s="61"/>
    </row>
    <row r="1515" spans="1:17" ht="13">
      <c r="A1515" s="28">
        <v>0</v>
      </c>
      <c r="B1515" s="28" t="s">
        <v>1053</v>
      </c>
      <c r="C1515" s="129" t="s">
        <v>1050</v>
      </c>
      <c r="D1515" s="128">
        <v>0</v>
      </c>
      <c r="E1515" s="128" t="s">
        <v>1050</v>
      </c>
      <c r="F1515" s="29" t="s">
        <v>1050</v>
      </c>
      <c r="G1515" s="56" t="str">
        <f t="shared" ca="1" si="213"/>
        <v/>
      </c>
      <c r="H1515" s="28" t="str">
        <f t="shared" ca="1" si="219"/>
        <v/>
      </c>
      <c r="J1515" s="38" t="str">
        <f t="shared" si="220"/>
        <v xml:space="preserve"> </v>
      </c>
      <c r="K1515" s="39">
        <f t="shared" si="221"/>
        <v>0</v>
      </c>
      <c r="L1515" s="39" t="str">
        <f t="shared" si="222"/>
        <v/>
      </c>
      <c r="M1515" s="40" t="str">
        <f t="shared" si="223"/>
        <v xml:space="preserve"> </v>
      </c>
      <c r="N1515" s="41" t="str">
        <f t="shared" ca="1" si="224"/>
        <v/>
      </c>
      <c r="O1515" s="41" t="str">
        <f t="shared" si="225"/>
        <v xml:space="preserve"> </v>
      </c>
      <c r="P1515" s="60">
        <f t="shared" si="226"/>
        <v>0</v>
      </c>
      <c r="Q1515" s="61"/>
    </row>
    <row r="1516" spans="1:17" ht="13">
      <c r="A1516" s="28">
        <v>0</v>
      </c>
      <c r="B1516" s="28" t="s">
        <v>1053</v>
      </c>
      <c r="C1516" s="129" t="s">
        <v>1050</v>
      </c>
      <c r="D1516" s="128">
        <v>0</v>
      </c>
      <c r="E1516" s="128" t="s">
        <v>1050</v>
      </c>
      <c r="F1516" s="29" t="s">
        <v>1050</v>
      </c>
      <c r="G1516" s="56" t="str">
        <f t="shared" ca="1" si="213"/>
        <v/>
      </c>
      <c r="H1516" s="28" t="str">
        <f t="shared" ca="1" si="219"/>
        <v/>
      </c>
      <c r="J1516" s="38" t="str">
        <f t="shared" si="220"/>
        <v xml:space="preserve"> </v>
      </c>
      <c r="K1516" s="39">
        <f t="shared" si="221"/>
        <v>0</v>
      </c>
      <c r="L1516" s="39" t="str">
        <f t="shared" si="222"/>
        <v/>
      </c>
      <c r="M1516" s="40" t="str">
        <f t="shared" si="223"/>
        <v xml:space="preserve"> </v>
      </c>
      <c r="N1516" s="41" t="str">
        <f t="shared" ca="1" si="224"/>
        <v/>
      </c>
      <c r="O1516" s="41" t="str">
        <f t="shared" si="225"/>
        <v xml:space="preserve"> </v>
      </c>
      <c r="P1516" s="60">
        <f t="shared" si="226"/>
        <v>0</v>
      </c>
      <c r="Q1516" s="61"/>
    </row>
    <row r="1517" spans="1:17" ht="13">
      <c r="A1517" s="28">
        <v>0</v>
      </c>
      <c r="B1517" s="28" t="s">
        <v>1053</v>
      </c>
      <c r="C1517" s="129" t="s">
        <v>1050</v>
      </c>
      <c r="D1517" s="128">
        <v>0</v>
      </c>
      <c r="E1517" s="128" t="s">
        <v>1050</v>
      </c>
      <c r="F1517" s="29" t="s">
        <v>1050</v>
      </c>
      <c r="G1517" s="56" t="str">
        <f t="shared" ca="1" si="213"/>
        <v/>
      </c>
      <c r="H1517" s="28" t="str">
        <f t="shared" ca="1" si="219"/>
        <v/>
      </c>
      <c r="J1517" s="38" t="str">
        <f t="shared" si="220"/>
        <v xml:space="preserve"> </v>
      </c>
      <c r="K1517" s="39">
        <f t="shared" si="221"/>
        <v>0</v>
      </c>
      <c r="L1517" s="39" t="str">
        <f t="shared" si="222"/>
        <v/>
      </c>
      <c r="M1517" s="40" t="str">
        <f t="shared" si="223"/>
        <v xml:space="preserve"> </v>
      </c>
      <c r="N1517" s="41" t="str">
        <f t="shared" ca="1" si="224"/>
        <v/>
      </c>
      <c r="O1517" s="41" t="str">
        <f t="shared" si="225"/>
        <v xml:space="preserve"> </v>
      </c>
      <c r="P1517" s="60">
        <f t="shared" si="226"/>
        <v>0</v>
      </c>
      <c r="Q1517" s="61"/>
    </row>
    <row r="1518" spans="1:17" ht="13">
      <c r="A1518" s="28">
        <v>0</v>
      </c>
      <c r="B1518" s="28" t="s">
        <v>1053</v>
      </c>
      <c r="C1518" s="129" t="s">
        <v>1050</v>
      </c>
      <c r="D1518" s="128">
        <v>0</v>
      </c>
      <c r="E1518" s="128" t="s">
        <v>1050</v>
      </c>
      <c r="F1518" s="29" t="s">
        <v>1050</v>
      </c>
      <c r="G1518" s="56" t="str">
        <f t="shared" ca="1" si="213"/>
        <v/>
      </c>
      <c r="H1518" s="28" t="str">
        <f t="shared" ca="1" si="219"/>
        <v/>
      </c>
      <c r="J1518" s="38" t="str">
        <f t="shared" si="220"/>
        <v xml:space="preserve"> </v>
      </c>
      <c r="K1518" s="39">
        <f t="shared" si="221"/>
        <v>0</v>
      </c>
      <c r="L1518" s="39" t="str">
        <f t="shared" si="222"/>
        <v/>
      </c>
      <c r="M1518" s="40" t="str">
        <f t="shared" si="223"/>
        <v xml:space="preserve"> </v>
      </c>
      <c r="N1518" s="41" t="str">
        <f t="shared" ca="1" si="224"/>
        <v/>
      </c>
      <c r="O1518" s="41" t="str">
        <f t="shared" si="225"/>
        <v xml:space="preserve"> </v>
      </c>
      <c r="P1518" s="60">
        <f t="shared" si="226"/>
        <v>0</v>
      </c>
      <c r="Q1518" s="61"/>
    </row>
    <row r="1519" spans="1:17" ht="13">
      <c r="A1519" s="28">
        <v>0</v>
      </c>
      <c r="B1519" s="28" t="s">
        <v>1053</v>
      </c>
      <c r="C1519" s="129" t="s">
        <v>1050</v>
      </c>
      <c r="D1519" s="128">
        <v>0</v>
      </c>
      <c r="E1519" s="128" t="s">
        <v>1050</v>
      </c>
      <c r="F1519" s="29" t="s">
        <v>1050</v>
      </c>
      <c r="G1519" s="56" t="str">
        <f t="shared" ca="1" si="213"/>
        <v/>
      </c>
      <c r="H1519" s="28" t="str">
        <f t="shared" ca="1" si="219"/>
        <v/>
      </c>
      <c r="J1519" s="38" t="str">
        <f t="shared" si="220"/>
        <v xml:space="preserve"> </v>
      </c>
      <c r="K1519" s="39">
        <f t="shared" si="221"/>
        <v>0</v>
      </c>
      <c r="L1519" s="39" t="str">
        <f t="shared" si="222"/>
        <v/>
      </c>
      <c r="M1519" s="40" t="str">
        <f t="shared" si="223"/>
        <v xml:space="preserve"> </v>
      </c>
      <c r="N1519" s="41" t="str">
        <f t="shared" ca="1" si="224"/>
        <v/>
      </c>
      <c r="O1519" s="41" t="str">
        <f t="shared" si="225"/>
        <v xml:space="preserve"> </v>
      </c>
      <c r="P1519" s="60">
        <f t="shared" si="226"/>
        <v>0</v>
      </c>
      <c r="Q1519" s="61"/>
    </row>
    <row r="1520" spans="1:17" ht="13">
      <c r="A1520" s="28">
        <v>0</v>
      </c>
      <c r="B1520" s="28" t="s">
        <v>1053</v>
      </c>
      <c r="C1520" s="129" t="s">
        <v>1050</v>
      </c>
      <c r="D1520" s="128">
        <v>0</v>
      </c>
      <c r="E1520" s="128" t="s">
        <v>1050</v>
      </c>
      <c r="F1520" s="29" t="s">
        <v>1050</v>
      </c>
      <c r="G1520" s="56" t="str">
        <f t="shared" ca="1" si="213"/>
        <v/>
      </c>
      <c r="H1520" s="28" t="str">
        <f t="shared" ca="1" si="219"/>
        <v/>
      </c>
      <c r="J1520" s="38" t="str">
        <f t="shared" si="220"/>
        <v xml:space="preserve"> </v>
      </c>
      <c r="K1520" s="39">
        <f t="shared" si="221"/>
        <v>0</v>
      </c>
      <c r="L1520" s="39" t="str">
        <f t="shared" si="222"/>
        <v/>
      </c>
      <c r="M1520" s="40" t="str">
        <f t="shared" si="223"/>
        <v xml:space="preserve"> </v>
      </c>
      <c r="N1520" s="41" t="str">
        <f t="shared" ca="1" si="224"/>
        <v/>
      </c>
      <c r="O1520" s="41" t="str">
        <f t="shared" si="225"/>
        <v xml:space="preserve"> </v>
      </c>
      <c r="P1520" s="60">
        <f t="shared" si="226"/>
        <v>0</v>
      </c>
      <c r="Q1520" s="61"/>
    </row>
    <row r="1521" spans="1:17" ht="13">
      <c r="A1521" s="28">
        <v>0</v>
      </c>
      <c r="B1521" s="28" t="s">
        <v>1053</v>
      </c>
      <c r="C1521" s="129" t="s">
        <v>1050</v>
      </c>
      <c r="D1521" s="128">
        <v>0</v>
      </c>
      <c r="E1521" s="128" t="s">
        <v>1050</v>
      </c>
      <c r="F1521" s="29" t="s">
        <v>1050</v>
      </c>
      <c r="G1521" s="56" t="str">
        <f t="shared" ca="1" si="213"/>
        <v/>
      </c>
      <c r="H1521" s="28" t="str">
        <f t="shared" ca="1" si="219"/>
        <v/>
      </c>
      <c r="J1521" s="38" t="str">
        <f t="shared" si="220"/>
        <v xml:space="preserve"> </v>
      </c>
      <c r="K1521" s="39">
        <f t="shared" si="221"/>
        <v>0</v>
      </c>
      <c r="L1521" s="39" t="str">
        <f t="shared" si="222"/>
        <v/>
      </c>
      <c r="M1521" s="40" t="str">
        <f t="shared" si="223"/>
        <v xml:space="preserve"> </v>
      </c>
      <c r="N1521" s="41" t="str">
        <f t="shared" ca="1" si="224"/>
        <v/>
      </c>
      <c r="O1521" s="41" t="str">
        <f t="shared" si="225"/>
        <v xml:space="preserve"> </v>
      </c>
      <c r="P1521" s="60">
        <f t="shared" si="226"/>
        <v>0</v>
      </c>
      <c r="Q1521" s="61"/>
    </row>
    <row r="1522" spans="1:17" ht="13">
      <c r="A1522" s="28">
        <v>0</v>
      </c>
      <c r="B1522" s="28" t="s">
        <v>1053</v>
      </c>
      <c r="C1522" s="129" t="s">
        <v>1050</v>
      </c>
      <c r="D1522" s="128">
        <v>0</v>
      </c>
      <c r="E1522" s="128" t="s">
        <v>1050</v>
      </c>
      <c r="F1522" s="29" t="s">
        <v>1050</v>
      </c>
      <c r="G1522" s="56" t="str">
        <f t="shared" ca="1" si="213"/>
        <v/>
      </c>
      <c r="H1522" s="28" t="str">
        <f t="shared" ca="1" si="219"/>
        <v/>
      </c>
      <c r="J1522" s="38" t="str">
        <f t="shared" si="220"/>
        <v xml:space="preserve"> </v>
      </c>
      <c r="K1522" s="39">
        <f t="shared" si="221"/>
        <v>0</v>
      </c>
      <c r="L1522" s="39" t="str">
        <f t="shared" si="222"/>
        <v/>
      </c>
      <c r="M1522" s="40" t="str">
        <f t="shared" si="223"/>
        <v xml:space="preserve"> </v>
      </c>
      <c r="N1522" s="41" t="str">
        <f t="shared" ca="1" si="224"/>
        <v/>
      </c>
      <c r="O1522" s="41" t="str">
        <f t="shared" si="225"/>
        <v xml:space="preserve"> </v>
      </c>
      <c r="P1522" s="60">
        <f t="shared" si="226"/>
        <v>0</v>
      </c>
      <c r="Q1522" s="61"/>
    </row>
    <row r="1523" spans="1:17" ht="13">
      <c r="A1523" s="28">
        <v>0</v>
      </c>
      <c r="B1523" s="28" t="s">
        <v>1053</v>
      </c>
      <c r="C1523" s="129" t="s">
        <v>1050</v>
      </c>
      <c r="D1523" s="128">
        <v>0</v>
      </c>
      <c r="E1523" s="128" t="s">
        <v>1050</v>
      </c>
      <c r="F1523" s="29" t="s">
        <v>1050</v>
      </c>
      <c r="G1523" s="56" t="str">
        <f t="shared" ca="1" si="213"/>
        <v/>
      </c>
      <c r="H1523" s="28" t="str">
        <f t="shared" ca="1" si="219"/>
        <v/>
      </c>
      <c r="J1523" s="38" t="str">
        <f t="shared" si="220"/>
        <v xml:space="preserve"> </v>
      </c>
      <c r="K1523" s="39">
        <f t="shared" si="221"/>
        <v>0</v>
      </c>
      <c r="L1523" s="39" t="str">
        <f t="shared" si="222"/>
        <v/>
      </c>
      <c r="M1523" s="40" t="str">
        <f t="shared" si="223"/>
        <v xml:space="preserve"> </v>
      </c>
      <c r="N1523" s="41" t="str">
        <f t="shared" ca="1" si="224"/>
        <v/>
      </c>
      <c r="O1523" s="41" t="str">
        <f t="shared" si="225"/>
        <v xml:space="preserve"> </v>
      </c>
      <c r="P1523" s="60">
        <f t="shared" si="226"/>
        <v>0</v>
      </c>
      <c r="Q1523" s="61"/>
    </row>
    <row r="1524" spans="1:17" ht="13">
      <c r="A1524" s="28">
        <v>0</v>
      </c>
      <c r="B1524" s="28" t="s">
        <v>1053</v>
      </c>
      <c r="C1524" s="129" t="s">
        <v>1050</v>
      </c>
      <c r="D1524" s="128">
        <v>0</v>
      </c>
      <c r="E1524" s="128" t="s">
        <v>1050</v>
      </c>
      <c r="F1524" s="29" t="s">
        <v>1050</v>
      </c>
      <c r="G1524" s="56" t="str">
        <f t="shared" ca="1" si="213"/>
        <v/>
      </c>
      <c r="H1524" s="28" t="str">
        <f t="shared" ca="1" si="219"/>
        <v/>
      </c>
      <c r="J1524" s="38" t="str">
        <f t="shared" si="220"/>
        <v xml:space="preserve"> </v>
      </c>
      <c r="K1524" s="39">
        <f t="shared" si="221"/>
        <v>0</v>
      </c>
      <c r="L1524" s="39" t="str">
        <f t="shared" si="222"/>
        <v/>
      </c>
      <c r="M1524" s="40" t="str">
        <f t="shared" si="223"/>
        <v xml:space="preserve"> </v>
      </c>
      <c r="N1524" s="41" t="str">
        <f t="shared" ca="1" si="224"/>
        <v/>
      </c>
      <c r="O1524" s="41" t="str">
        <f t="shared" si="225"/>
        <v xml:space="preserve"> </v>
      </c>
      <c r="P1524" s="60">
        <f t="shared" si="226"/>
        <v>0</v>
      </c>
      <c r="Q1524" s="61"/>
    </row>
    <row r="1525" spans="1:17" ht="13">
      <c r="A1525" s="28">
        <v>0</v>
      </c>
      <c r="B1525" s="28" t="s">
        <v>1053</v>
      </c>
      <c r="C1525" s="129" t="s">
        <v>1050</v>
      </c>
      <c r="D1525" s="128">
        <v>0</v>
      </c>
      <c r="E1525" s="128" t="s">
        <v>1050</v>
      </c>
      <c r="F1525" s="29" t="s">
        <v>1050</v>
      </c>
      <c r="G1525" s="56" t="str">
        <f t="shared" ca="1" si="213"/>
        <v/>
      </c>
      <c r="H1525" s="28" t="str">
        <f t="shared" ca="1" si="219"/>
        <v/>
      </c>
      <c r="J1525" s="38" t="str">
        <f t="shared" si="220"/>
        <v xml:space="preserve"> </v>
      </c>
      <c r="K1525" s="39">
        <f t="shared" si="221"/>
        <v>0</v>
      </c>
      <c r="L1525" s="39" t="str">
        <f t="shared" si="222"/>
        <v/>
      </c>
      <c r="M1525" s="40" t="str">
        <f t="shared" si="223"/>
        <v xml:space="preserve"> </v>
      </c>
      <c r="N1525" s="41" t="str">
        <f t="shared" ca="1" si="224"/>
        <v/>
      </c>
      <c r="O1525" s="41" t="str">
        <f t="shared" si="225"/>
        <v xml:space="preserve"> </v>
      </c>
      <c r="P1525" s="60">
        <f t="shared" si="226"/>
        <v>0</v>
      </c>
      <c r="Q1525" s="61"/>
    </row>
    <row r="1526" spans="1:17" ht="13">
      <c r="A1526" s="28">
        <v>0</v>
      </c>
      <c r="B1526" s="28" t="s">
        <v>1053</v>
      </c>
      <c r="C1526" s="129" t="s">
        <v>1050</v>
      </c>
      <c r="D1526" s="128">
        <v>0</v>
      </c>
      <c r="E1526" s="128" t="s">
        <v>1050</v>
      </c>
      <c r="F1526" s="29" t="s">
        <v>1050</v>
      </c>
      <c r="G1526" s="56" t="str">
        <f t="shared" ca="1" si="213"/>
        <v/>
      </c>
      <c r="H1526" s="28" t="str">
        <f t="shared" ca="1" si="219"/>
        <v/>
      </c>
      <c r="J1526" s="38" t="str">
        <f t="shared" si="220"/>
        <v xml:space="preserve"> </v>
      </c>
      <c r="K1526" s="39">
        <f t="shared" si="221"/>
        <v>0</v>
      </c>
      <c r="L1526" s="39" t="str">
        <f t="shared" si="222"/>
        <v/>
      </c>
      <c r="M1526" s="40" t="str">
        <f t="shared" si="223"/>
        <v xml:space="preserve"> </v>
      </c>
      <c r="N1526" s="41" t="str">
        <f t="shared" ca="1" si="224"/>
        <v/>
      </c>
      <c r="O1526" s="41" t="str">
        <f t="shared" si="225"/>
        <v xml:space="preserve"> </v>
      </c>
      <c r="P1526" s="60">
        <f t="shared" si="226"/>
        <v>0</v>
      </c>
      <c r="Q1526" s="61"/>
    </row>
    <row r="1527" spans="1:17" ht="13">
      <c r="A1527" s="28">
        <v>0</v>
      </c>
      <c r="B1527" s="28" t="s">
        <v>1053</v>
      </c>
      <c r="C1527" s="129" t="s">
        <v>1050</v>
      </c>
      <c r="D1527" s="128">
        <v>0</v>
      </c>
      <c r="E1527" s="128" t="s">
        <v>1050</v>
      </c>
      <c r="F1527" s="29" t="s">
        <v>1050</v>
      </c>
      <c r="G1527" s="56" t="str">
        <f t="shared" ca="1" si="213"/>
        <v/>
      </c>
      <c r="H1527" s="28" t="str">
        <f t="shared" ca="1" si="219"/>
        <v/>
      </c>
      <c r="J1527" s="38" t="str">
        <f t="shared" si="220"/>
        <v xml:space="preserve"> </v>
      </c>
      <c r="K1527" s="39">
        <f t="shared" si="221"/>
        <v>0</v>
      </c>
      <c r="L1527" s="39" t="str">
        <f t="shared" si="222"/>
        <v/>
      </c>
      <c r="M1527" s="40" t="str">
        <f t="shared" si="223"/>
        <v xml:space="preserve"> </v>
      </c>
      <c r="N1527" s="41" t="str">
        <f t="shared" ca="1" si="224"/>
        <v/>
      </c>
      <c r="O1527" s="41" t="str">
        <f t="shared" si="225"/>
        <v xml:space="preserve"> </v>
      </c>
      <c r="P1527" s="60">
        <f t="shared" si="226"/>
        <v>0</v>
      </c>
      <c r="Q1527" s="61"/>
    </row>
    <row r="1528" spans="1:17" ht="13">
      <c r="A1528" s="28">
        <v>0</v>
      </c>
      <c r="B1528" s="28" t="s">
        <v>1053</v>
      </c>
      <c r="C1528" s="129" t="s">
        <v>1050</v>
      </c>
      <c r="D1528" s="128">
        <v>0</v>
      </c>
      <c r="E1528" s="128" t="s">
        <v>1050</v>
      </c>
      <c r="F1528" s="29" t="s">
        <v>1050</v>
      </c>
      <c r="G1528" s="56" t="str">
        <f t="shared" ca="1" si="213"/>
        <v/>
      </c>
      <c r="H1528" s="28" t="str">
        <f t="shared" ca="1" si="219"/>
        <v/>
      </c>
      <c r="J1528" s="38" t="str">
        <f t="shared" si="220"/>
        <v xml:space="preserve"> </v>
      </c>
      <c r="K1528" s="39">
        <f t="shared" si="221"/>
        <v>0</v>
      </c>
      <c r="L1528" s="39" t="str">
        <f t="shared" si="222"/>
        <v/>
      </c>
      <c r="M1528" s="40" t="str">
        <f t="shared" si="223"/>
        <v xml:space="preserve"> </v>
      </c>
      <c r="N1528" s="41" t="str">
        <f t="shared" ca="1" si="224"/>
        <v/>
      </c>
      <c r="O1528" s="41" t="str">
        <f t="shared" si="225"/>
        <v xml:space="preserve"> </v>
      </c>
      <c r="P1528" s="60">
        <f t="shared" si="226"/>
        <v>0</v>
      </c>
      <c r="Q1528" s="61"/>
    </row>
    <row r="1529" spans="1:17" ht="13">
      <c r="A1529" s="28">
        <v>0</v>
      </c>
      <c r="B1529" s="28" t="s">
        <v>1053</v>
      </c>
      <c r="C1529" s="129" t="s">
        <v>1050</v>
      </c>
      <c r="D1529" s="128">
        <v>0</v>
      </c>
      <c r="E1529" s="128" t="s">
        <v>1050</v>
      </c>
      <c r="F1529" s="29" t="s">
        <v>1050</v>
      </c>
      <c r="G1529" s="56" t="str">
        <f t="shared" ca="1" si="213"/>
        <v/>
      </c>
      <c r="H1529" s="28" t="str">
        <f t="shared" ca="1" si="219"/>
        <v/>
      </c>
      <c r="J1529" s="38" t="str">
        <f t="shared" si="220"/>
        <v xml:space="preserve"> </v>
      </c>
      <c r="K1529" s="39">
        <f t="shared" si="221"/>
        <v>0</v>
      </c>
      <c r="L1529" s="39" t="str">
        <f t="shared" si="222"/>
        <v/>
      </c>
      <c r="M1529" s="40" t="str">
        <f t="shared" si="223"/>
        <v xml:space="preserve"> </v>
      </c>
      <c r="N1529" s="41" t="str">
        <f t="shared" ca="1" si="224"/>
        <v/>
      </c>
      <c r="O1529" s="41" t="str">
        <f t="shared" si="225"/>
        <v xml:space="preserve"> </v>
      </c>
      <c r="P1529" s="60">
        <f t="shared" si="226"/>
        <v>0</v>
      </c>
      <c r="Q1529" s="61"/>
    </row>
    <row r="1530" spans="1:17" ht="13">
      <c r="A1530" s="28">
        <v>0</v>
      </c>
      <c r="B1530" s="28" t="s">
        <v>1053</v>
      </c>
      <c r="C1530" s="129" t="s">
        <v>1050</v>
      </c>
      <c r="D1530" s="128">
        <v>0</v>
      </c>
      <c r="E1530" s="128" t="s">
        <v>1050</v>
      </c>
      <c r="F1530" s="29" t="s">
        <v>1050</v>
      </c>
      <c r="G1530" s="56" t="str">
        <f t="shared" ca="1" si="213"/>
        <v/>
      </c>
      <c r="H1530" s="28" t="str">
        <f t="shared" ca="1" si="219"/>
        <v/>
      </c>
      <c r="J1530" s="38" t="str">
        <f t="shared" si="220"/>
        <v xml:space="preserve"> </v>
      </c>
      <c r="K1530" s="39">
        <f t="shared" si="221"/>
        <v>0</v>
      </c>
      <c r="L1530" s="39" t="str">
        <f t="shared" si="222"/>
        <v/>
      </c>
      <c r="M1530" s="40" t="str">
        <f t="shared" si="223"/>
        <v xml:space="preserve"> </v>
      </c>
      <c r="N1530" s="41" t="str">
        <f t="shared" ca="1" si="224"/>
        <v/>
      </c>
      <c r="O1530" s="41" t="str">
        <f t="shared" si="225"/>
        <v xml:space="preserve"> </v>
      </c>
      <c r="P1530" s="60">
        <f t="shared" si="226"/>
        <v>0</v>
      </c>
      <c r="Q1530" s="61"/>
    </row>
    <row r="1531" spans="1:17" ht="13">
      <c r="A1531" s="28">
        <v>0</v>
      </c>
      <c r="B1531" s="28" t="s">
        <v>1053</v>
      </c>
      <c r="C1531" s="129" t="s">
        <v>1050</v>
      </c>
      <c r="D1531" s="128">
        <v>0</v>
      </c>
      <c r="E1531" s="128" t="s">
        <v>1050</v>
      </c>
      <c r="F1531" s="29" t="s">
        <v>1050</v>
      </c>
      <c r="G1531" s="56" t="str">
        <f t="shared" ca="1" si="213"/>
        <v/>
      </c>
      <c r="H1531" s="28" t="str">
        <f t="shared" ca="1" si="219"/>
        <v/>
      </c>
      <c r="J1531" s="38" t="str">
        <f t="shared" si="220"/>
        <v xml:space="preserve"> </v>
      </c>
      <c r="K1531" s="39">
        <f t="shared" si="221"/>
        <v>0</v>
      </c>
      <c r="L1531" s="39" t="str">
        <f t="shared" si="222"/>
        <v/>
      </c>
      <c r="M1531" s="40" t="str">
        <f t="shared" si="223"/>
        <v xml:space="preserve"> </v>
      </c>
      <c r="N1531" s="41" t="str">
        <f t="shared" ca="1" si="224"/>
        <v/>
      </c>
      <c r="O1531" s="41" t="str">
        <f t="shared" si="225"/>
        <v xml:space="preserve"> </v>
      </c>
      <c r="P1531" s="60">
        <f t="shared" si="226"/>
        <v>0</v>
      </c>
      <c r="Q1531" s="61"/>
    </row>
    <row r="1532" spans="1:17" ht="13">
      <c r="A1532" s="28">
        <v>0</v>
      </c>
      <c r="B1532" s="28" t="s">
        <v>1053</v>
      </c>
      <c r="C1532" s="129" t="s">
        <v>1050</v>
      </c>
      <c r="D1532" s="128">
        <v>0</v>
      </c>
      <c r="E1532" s="128" t="s">
        <v>1050</v>
      </c>
      <c r="F1532" s="29" t="s">
        <v>1050</v>
      </c>
      <c r="G1532" s="56" t="str">
        <f t="shared" ca="1" si="213"/>
        <v/>
      </c>
      <c r="H1532" s="28" t="str">
        <f t="shared" ca="1" si="219"/>
        <v/>
      </c>
      <c r="J1532" s="38" t="str">
        <f t="shared" si="220"/>
        <v xml:space="preserve"> </v>
      </c>
      <c r="K1532" s="39">
        <f t="shared" si="221"/>
        <v>0</v>
      </c>
      <c r="L1532" s="39" t="str">
        <f t="shared" si="222"/>
        <v/>
      </c>
      <c r="M1532" s="40" t="str">
        <f t="shared" si="223"/>
        <v xml:space="preserve"> </v>
      </c>
      <c r="N1532" s="41" t="str">
        <f t="shared" ca="1" si="224"/>
        <v/>
      </c>
      <c r="O1532" s="41" t="str">
        <f t="shared" si="225"/>
        <v xml:space="preserve"> </v>
      </c>
      <c r="P1532" s="60">
        <f t="shared" si="226"/>
        <v>0</v>
      </c>
      <c r="Q1532" s="61"/>
    </row>
    <row r="1533" spans="1:17" ht="13">
      <c r="A1533" s="28">
        <v>0</v>
      </c>
      <c r="B1533" s="28" t="s">
        <v>1053</v>
      </c>
      <c r="C1533" s="129" t="s">
        <v>1050</v>
      </c>
      <c r="D1533" s="128">
        <v>0</v>
      </c>
      <c r="E1533" s="128" t="s">
        <v>1050</v>
      </c>
      <c r="F1533" s="29" t="s">
        <v>1050</v>
      </c>
      <c r="G1533" s="56" t="str">
        <f t="shared" ca="1" si="213"/>
        <v/>
      </c>
      <c r="H1533" s="28" t="str">
        <f t="shared" ca="1" si="219"/>
        <v/>
      </c>
      <c r="J1533" s="38" t="str">
        <f t="shared" si="220"/>
        <v xml:space="preserve"> </v>
      </c>
      <c r="K1533" s="39">
        <f t="shared" si="221"/>
        <v>0</v>
      </c>
      <c r="L1533" s="39" t="str">
        <f t="shared" si="222"/>
        <v/>
      </c>
      <c r="M1533" s="40" t="str">
        <f t="shared" si="223"/>
        <v xml:space="preserve"> </v>
      </c>
      <c r="N1533" s="41" t="str">
        <f t="shared" ca="1" si="224"/>
        <v/>
      </c>
      <c r="O1533" s="41" t="str">
        <f t="shared" si="225"/>
        <v xml:space="preserve"> </v>
      </c>
      <c r="P1533" s="60">
        <f t="shared" si="226"/>
        <v>0</v>
      </c>
      <c r="Q1533" s="61"/>
    </row>
    <row r="1534" spans="1:17" ht="13">
      <c r="A1534" s="28">
        <v>0</v>
      </c>
      <c r="B1534" s="28" t="s">
        <v>1053</v>
      </c>
      <c r="C1534" s="129" t="s">
        <v>1050</v>
      </c>
      <c r="D1534" s="128">
        <v>0</v>
      </c>
      <c r="E1534" s="128" t="s">
        <v>1050</v>
      </c>
      <c r="F1534" s="29" t="s">
        <v>1050</v>
      </c>
      <c r="G1534" s="56" t="str">
        <f t="shared" ca="1" si="213"/>
        <v/>
      </c>
      <c r="H1534" s="28" t="str">
        <f t="shared" ca="1" si="219"/>
        <v/>
      </c>
      <c r="J1534" s="38" t="str">
        <f t="shared" si="220"/>
        <v xml:space="preserve"> </v>
      </c>
      <c r="K1534" s="39">
        <f t="shared" si="221"/>
        <v>0</v>
      </c>
      <c r="L1534" s="39" t="str">
        <f t="shared" si="222"/>
        <v/>
      </c>
      <c r="M1534" s="40" t="str">
        <f t="shared" si="223"/>
        <v xml:space="preserve"> </v>
      </c>
      <c r="N1534" s="41" t="str">
        <f t="shared" ca="1" si="224"/>
        <v/>
      </c>
      <c r="O1534" s="41" t="str">
        <f t="shared" si="225"/>
        <v xml:space="preserve"> </v>
      </c>
      <c r="P1534" s="60">
        <f t="shared" si="226"/>
        <v>0</v>
      </c>
      <c r="Q1534" s="61"/>
    </row>
    <row r="1535" spans="1:17" ht="13">
      <c r="A1535" s="28">
        <v>0</v>
      </c>
      <c r="B1535" s="28" t="s">
        <v>1053</v>
      </c>
      <c r="C1535" s="129" t="s">
        <v>1050</v>
      </c>
      <c r="D1535" s="128">
        <v>0</v>
      </c>
      <c r="E1535" s="128" t="s">
        <v>1050</v>
      </c>
      <c r="F1535" s="29" t="s">
        <v>1050</v>
      </c>
      <c r="G1535" s="56" t="str">
        <f t="shared" ca="1" si="213"/>
        <v/>
      </c>
      <c r="H1535" s="28" t="str">
        <f t="shared" ca="1" si="219"/>
        <v/>
      </c>
      <c r="J1535" s="38" t="str">
        <f t="shared" si="220"/>
        <v xml:space="preserve"> </v>
      </c>
      <c r="K1535" s="39">
        <f t="shared" si="221"/>
        <v>0</v>
      </c>
      <c r="L1535" s="39" t="str">
        <f t="shared" si="222"/>
        <v/>
      </c>
      <c r="M1535" s="40" t="str">
        <f t="shared" si="223"/>
        <v xml:space="preserve"> </v>
      </c>
      <c r="N1535" s="41" t="str">
        <f t="shared" ca="1" si="224"/>
        <v/>
      </c>
      <c r="O1535" s="41" t="str">
        <f t="shared" si="225"/>
        <v xml:space="preserve"> </v>
      </c>
      <c r="P1535" s="60">
        <f t="shared" si="226"/>
        <v>0</v>
      </c>
      <c r="Q1535" s="61"/>
    </row>
    <row r="1536" spans="1:17" ht="13">
      <c r="A1536" s="28">
        <v>0</v>
      </c>
      <c r="B1536" s="28" t="s">
        <v>1053</v>
      </c>
      <c r="C1536" s="129" t="s">
        <v>1050</v>
      </c>
      <c r="D1536" s="128">
        <v>0</v>
      </c>
      <c r="E1536" s="128" t="s">
        <v>1050</v>
      </c>
      <c r="F1536" s="29" t="s">
        <v>1050</v>
      </c>
      <c r="G1536" s="56" t="str">
        <f t="shared" ca="1" si="213"/>
        <v/>
      </c>
      <c r="H1536" s="28" t="str">
        <f t="shared" ca="1" si="219"/>
        <v/>
      </c>
      <c r="J1536" s="38" t="str">
        <f t="shared" si="220"/>
        <v xml:space="preserve"> </v>
      </c>
      <c r="K1536" s="39">
        <f t="shared" si="221"/>
        <v>0</v>
      </c>
      <c r="L1536" s="39" t="str">
        <f t="shared" si="222"/>
        <v/>
      </c>
      <c r="M1536" s="40" t="str">
        <f t="shared" si="223"/>
        <v xml:space="preserve"> </v>
      </c>
      <c r="N1536" s="41" t="str">
        <f t="shared" ca="1" si="224"/>
        <v/>
      </c>
      <c r="O1536" s="41" t="str">
        <f t="shared" si="225"/>
        <v xml:space="preserve"> </v>
      </c>
      <c r="P1536" s="60">
        <f t="shared" si="226"/>
        <v>0</v>
      </c>
      <c r="Q1536" s="61"/>
    </row>
    <row r="1537" spans="1:17" ht="13">
      <c r="A1537" s="28">
        <v>0</v>
      </c>
      <c r="B1537" s="28" t="s">
        <v>1053</v>
      </c>
      <c r="C1537" s="129" t="s">
        <v>1050</v>
      </c>
      <c r="D1537" s="128">
        <v>0</v>
      </c>
      <c r="E1537" s="128" t="s">
        <v>1050</v>
      </c>
      <c r="F1537" s="29" t="s">
        <v>1050</v>
      </c>
      <c r="G1537" s="56" t="str">
        <f t="shared" ca="1" si="213"/>
        <v/>
      </c>
      <c r="H1537" s="28" t="str">
        <f t="shared" ca="1" si="219"/>
        <v/>
      </c>
      <c r="J1537" s="38" t="str">
        <f t="shared" si="220"/>
        <v xml:space="preserve"> </v>
      </c>
      <c r="K1537" s="39">
        <f t="shared" si="221"/>
        <v>0</v>
      </c>
      <c r="L1537" s="39" t="str">
        <f t="shared" si="222"/>
        <v/>
      </c>
      <c r="M1537" s="40" t="str">
        <f t="shared" si="223"/>
        <v xml:space="preserve"> </v>
      </c>
      <c r="N1537" s="41" t="str">
        <f t="shared" ca="1" si="224"/>
        <v/>
      </c>
      <c r="O1537" s="41" t="str">
        <f t="shared" si="225"/>
        <v xml:space="preserve"> </v>
      </c>
      <c r="P1537" s="60">
        <f t="shared" si="226"/>
        <v>0</v>
      </c>
      <c r="Q1537" s="61"/>
    </row>
    <row r="1538" spans="1:17" ht="13">
      <c r="A1538" s="28">
        <v>0</v>
      </c>
      <c r="B1538" s="28" t="s">
        <v>1053</v>
      </c>
      <c r="C1538" s="129" t="s">
        <v>1050</v>
      </c>
      <c r="D1538" s="128">
        <v>0</v>
      </c>
      <c r="E1538" s="128" t="s">
        <v>1050</v>
      </c>
      <c r="F1538" s="29" t="s">
        <v>1050</v>
      </c>
      <c r="G1538" s="56" t="str">
        <f t="shared" ca="1" si="213"/>
        <v/>
      </c>
      <c r="H1538" s="28" t="str">
        <f t="shared" ca="1" si="219"/>
        <v/>
      </c>
      <c r="J1538" s="38" t="str">
        <f t="shared" si="220"/>
        <v xml:space="preserve"> </v>
      </c>
      <c r="K1538" s="39">
        <f t="shared" si="221"/>
        <v>0</v>
      </c>
      <c r="L1538" s="39" t="str">
        <f t="shared" si="222"/>
        <v/>
      </c>
      <c r="M1538" s="40" t="str">
        <f t="shared" si="223"/>
        <v xml:space="preserve"> </v>
      </c>
      <c r="N1538" s="41" t="str">
        <f t="shared" ca="1" si="224"/>
        <v/>
      </c>
      <c r="O1538" s="41" t="str">
        <f t="shared" si="225"/>
        <v xml:space="preserve"> </v>
      </c>
      <c r="P1538" s="60">
        <f t="shared" si="226"/>
        <v>0</v>
      </c>
      <c r="Q1538" s="61"/>
    </row>
    <row r="1539" spans="1:17" ht="13">
      <c r="A1539" s="28">
        <v>0</v>
      </c>
      <c r="B1539" s="28" t="s">
        <v>1053</v>
      </c>
      <c r="C1539" s="129" t="s">
        <v>1050</v>
      </c>
      <c r="D1539" s="128">
        <v>0</v>
      </c>
      <c r="E1539" s="128" t="s">
        <v>1050</v>
      </c>
      <c r="F1539" s="29" t="s">
        <v>1050</v>
      </c>
      <c r="G1539" s="56" t="str">
        <f t="shared" ref="G1539:G1602" ca="1" si="227">IFERROR(IF(YEAR(TODAY())-YEAR(F1539)&lt;7," ",IF(YEAR(TODAY())-YEAR(F1539)&lt;10,"Benjamim A",IF(YEAR(TODAY())-YEAR(F1539)&lt;12,"Benjamim B",IF(YEAR(TODAY())-YEAR(F1539)&lt;14,"Infantil",IF(YEAR(TODAY())-YEAR(F1539)&lt;16,"Iniciado",IF(YEAR(TODAY())-YEAR(F1539)&lt;18,"Juvenil",IF(YEAR(TODAY())-YEAR(F1539)&lt;20,"Júnior",IF(YEAR(TODAY())-YEAR(F1539)&lt;23,"sub 23",IF(ROUNDDOWN(INT(TODAY()-F1539)/365.25,0)&lt;35,"Sénior",IF(ROUNDDOWN(INT(TODAY()-F1539)/365.25,0)&lt;40,"V 35",IF(ROUNDDOWN(INT(TODAY()-F1539)/365.25,0)&lt;45,"V 40",IF(ROUNDDOWN(INT(TODAY()-F1539)/365.25,0)&lt;50,"V 45",IF(ROUNDDOWN(INT(TODAY()-F1539)/365.25,0)&lt;55,"V 50",IF(ROUNDDOWN(INT(TODAY()-F1539)/365.25,0)&lt;60,"V 55",IF(ROUNDDOWN(INT(TODAY()-F1539)/365.25,0)&lt;65,"V 60",IF(ROUNDDOWN(INT(TODAY()-F1539)/365.25,0)&lt;70,"V 65",IF(ROUNDDOWN(INT(TODAY()-F1539)/365.25,0)&lt;75,"V 70",IF(ROUNDDOWN(INT(TODAY()-F1539)/365.25,0)&lt;80,"V 75",IF(ROUNDDOWN(INT(TODAY()-F1539)/365.25,0)&lt;85,"V 80",IF(ROUNDDOWN(INT(TODAY()-F1539)/365.25,0)&lt;90,"V 85",IF(ROUNDDOWN(INT(TODAY()-F1539)/365.25,0)&lt;95,"V 90",IF(ROUNDDOWN(INT(TODAY()-F1539)/365.25,0)&lt;100,"V 95",IF(ROUNDDOWN(INT(TODAY()-F1539)/365.25,0)&gt;=100,"V 100",""))))))))))))))))))))))),"")</f>
        <v/>
      </c>
      <c r="H1539" s="28" t="str">
        <f t="shared" ca="1" si="219"/>
        <v/>
      </c>
      <c r="J1539" s="38" t="str">
        <f t="shared" si="220"/>
        <v xml:space="preserve"> </v>
      </c>
      <c r="K1539" s="39">
        <f t="shared" si="221"/>
        <v>0</v>
      </c>
      <c r="L1539" s="39" t="str">
        <f t="shared" si="222"/>
        <v/>
      </c>
      <c r="M1539" s="40" t="str">
        <f t="shared" si="223"/>
        <v xml:space="preserve"> </v>
      </c>
      <c r="N1539" s="41" t="str">
        <f t="shared" ca="1" si="224"/>
        <v/>
      </c>
      <c r="O1539" s="41" t="str">
        <f t="shared" si="225"/>
        <v xml:space="preserve"> </v>
      </c>
      <c r="P1539" s="60">
        <f t="shared" si="226"/>
        <v>0</v>
      </c>
      <c r="Q1539" s="61"/>
    </row>
    <row r="1540" spans="1:17" ht="13">
      <c r="A1540" s="28">
        <v>0</v>
      </c>
      <c r="B1540" s="28" t="s">
        <v>1053</v>
      </c>
      <c r="C1540" s="129" t="s">
        <v>1050</v>
      </c>
      <c r="D1540" s="128">
        <v>0</v>
      </c>
      <c r="E1540" s="128" t="s">
        <v>1050</v>
      </c>
      <c r="F1540" s="29" t="s">
        <v>1050</v>
      </c>
      <c r="G1540" s="56" t="str">
        <f t="shared" ca="1" si="227"/>
        <v/>
      </c>
      <c r="H1540" s="28" t="str">
        <f t="shared" ca="1" si="219"/>
        <v/>
      </c>
      <c r="J1540" s="38" t="str">
        <f t="shared" si="220"/>
        <v xml:space="preserve"> </v>
      </c>
      <c r="K1540" s="39">
        <f t="shared" si="221"/>
        <v>0</v>
      </c>
      <c r="L1540" s="39" t="str">
        <f t="shared" si="222"/>
        <v/>
      </c>
      <c r="M1540" s="40" t="str">
        <f t="shared" si="223"/>
        <v xml:space="preserve"> </v>
      </c>
      <c r="N1540" s="41" t="str">
        <f t="shared" ca="1" si="224"/>
        <v/>
      </c>
      <c r="O1540" s="41" t="str">
        <f t="shared" si="225"/>
        <v xml:space="preserve"> </v>
      </c>
      <c r="P1540" s="60">
        <f t="shared" si="226"/>
        <v>0</v>
      </c>
      <c r="Q1540" s="61"/>
    </row>
    <row r="1541" spans="1:17" ht="13">
      <c r="A1541" s="28">
        <v>0</v>
      </c>
      <c r="B1541" s="28" t="s">
        <v>1053</v>
      </c>
      <c r="C1541" s="129" t="s">
        <v>1050</v>
      </c>
      <c r="D1541" s="128">
        <v>0</v>
      </c>
      <c r="E1541" s="128" t="s">
        <v>1050</v>
      </c>
      <c r="F1541" s="29" t="s">
        <v>1050</v>
      </c>
      <c r="G1541" s="56" t="str">
        <f t="shared" ca="1" si="227"/>
        <v/>
      </c>
      <c r="H1541" s="28" t="str">
        <f t="shared" ca="1" si="219"/>
        <v/>
      </c>
      <c r="J1541" s="38" t="str">
        <f t="shared" si="220"/>
        <v xml:space="preserve"> </v>
      </c>
      <c r="K1541" s="39">
        <f t="shared" si="221"/>
        <v>0</v>
      </c>
      <c r="L1541" s="39" t="str">
        <f t="shared" si="222"/>
        <v/>
      </c>
      <c r="M1541" s="40" t="str">
        <f t="shared" si="223"/>
        <v xml:space="preserve"> </v>
      </c>
      <c r="N1541" s="41" t="str">
        <f t="shared" ca="1" si="224"/>
        <v/>
      </c>
      <c r="O1541" s="41" t="str">
        <f t="shared" si="225"/>
        <v xml:space="preserve"> </v>
      </c>
      <c r="P1541" s="60">
        <f t="shared" si="226"/>
        <v>0</v>
      </c>
      <c r="Q1541" s="61"/>
    </row>
    <row r="1542" spans="1:17" ht="13">
      <c r="A1542" s="28">
        <v>0</v>
      </c>
      <c r="B1542" s="28" t="s">
        <v>1053</v>
      </c>
      <c r="C1542" s="129" t="s">
        <v>1050</v>
      </c>
      <c r="D1542" s="128">
        <v>0</v>
      </c>
      <c r="E1542" s="128" t="s">
        <v>1050</v>
      </c>
      <c r="F1542" s="29" t="s">
        <v>1050</v>
      </c>
      <c r="G1542" s="56" t="str">
        <f t="shared" ca="1" si="227"/>
        <v/>
      </c>
      <c r="H1542" s="28" t="str">
        <f t="shared" ca="1" si="219"/>
        <v/>
      </c>
      <c r="J1542" s="38" t="str">
        <f t="shared" si="220"/>
        <v xml:space="preserve"> </v>
      </c>
      <c r="K1542" s="39">
        <f t="shared" si="221"/>
        <v>0</v>
      </c>
      <c r="L1542" s="39" t="str">
        <f t="shared" si="222"/>
        <v/>
      </c>
      <c r="M1542" s="40" t="str">
        <f t="shared" si="223"/>
        <v xml:space="preserve"> </v>
      </c>
      <c r="N1542" s="41" t="str">
        <f t="shared" ca="1" si="224"/>
        <v/>
      </c>
      <c r="O1542" s="41" t="str">
        <f t="shared" si="225"/>
        <v xml:space="preserve"> </v>
      </c>
      <c r="P1542" s="60">
        <f t="shared" si="226"/>
        <v>0</v>
      </c>
      <c r="Q1542" s="61"/>
    </row>
    <row r="1543" spans="1:17" ht="13">
      <c r="A1543" s="28">
        <v>0</v>
      </c>
      <c r="B1543" s="28" t="s">
        <v>1053</v>
      </c>
      <c r="C1543" s="129" t="s">
        <v>1050</v>
      </c>
      <c r="D1543" s="128">
        <v>0</v>
      </c>
      <c r="E1543" s="128" t="s">
        <v>1050</v>
      </c>
      <c r="F1543" s="29" t="s">
        <v>1050</v>
      </c>
      <c r="G1543" s="56" t="str">
        <f t="shared" ca="1" si="227"/>
        <v/>
      </c>
      <c r="H1543" s="28" t="str">
        <f t="shared" ca="1" si="219"/>
        <v/>
      </c>
      <c r="J1543" s="38" t="str">
        <f t="shared" si="220"/>
        <v xml:space="preserve"> </v>
      </c>
      <c r="K1543" s="39">
        <f t="shared" si="221"/>
        <v>0</v>
      </c>
      <c r="L1543" s="39" t="str">
        <f t="shared" si="222"/>
        <v/>
      </c>
      <c r="M1543" s="40" t="str">
        <f t="shared" si="223"/>
        <v xml:space="preserve"> </v>
      </c>
      <c r="N1543" s="41" t="str">
        <f t="shared" ca="1" si="224"/>
        <v/>
      </c>
      <c r="O1543" s="41" t="str">
        <f t="shared" si="225"/>
        <v xml:space="preserve"> </v>
      </c>
      <c r="P1543" s="60">
        <f t="shared" si="226"/>
        <v>0</v>
      </c>
      <c r="Q1543" s="61"/>
    </row>
    <row r="1544" spans="1:17" ht="13">
      <c r="A1544" s="28">
        <v>0</v>
      </c>
      <c r="B1544" s="28" t="s">
        <v>1053</v>
      </c>
      <c r="C1544" s="129" t="s">
        <v>1050</v>
      </c>
      <c r="D1544" s="128">
        <v>0</v>
      </c>
      <c r="E1544" s="128" t="s">
        <v>1050</v>
      </c>
      <c r="F1544" s="29" t="s">
        <v>1050</v>
      </c>
      <c r="G1544" s="56" t="str">
        <f t="shared" ca="1" si="227"/>
        <v/>
      </c>
      <c r="H1544" s="28" t="str">
        <f t="shared" ca="1" si="219"/>
        <v/>
      </c>
      <c r="J1544" s="38" t="str">
        <f t="shared" si="220"/>
        <v xml:space="preserve"> </v>
      </c>
      <c r="K1544" s="39">
        <f t="shared" si="221"/>
        <v>0</v>
      </c>
      <c r="L1544" s="39" t="str">
        <f t="shared" si="222"/>
        <v/>
      </c>
      <c r="M1544" s="40" t="str">
        <f t="shared" si="223"/>
        <v xml:space="preserve"> </v>
      </c>
      <c r="N1544" s="41" t="str">
        <f t="shared" ca="1" si="224"/>
        <v/>
      </c>
      <c r="O1544" s="41" t="str">
        <f t="shared" si="225"/>
        <v xml:space="preserve"> </v>
      </c>
      <c r="P1544" s="60">
        <f t="shared" si="226"/>
        <v>0</v>
      </c>
      <c r="Q1544" s="61"/>
    </row>
    <row r="1545" spans="1:17" ht="13">
      <c r="A1545" s="28">
        <v>0</v>
      </c>
      <c r="B1545" s="28" t="s">
        <v>1053</v>
      </c>
      <c r="C1545" s="129" t="s">
        <v>1050</v>
      </c>
      <c r="D1545" s="128">
        <v>0</v>
      </c>
      <c r="E1545" s="128" t="s">
        <v>1050</v>
      </c>
      <c r="F1545" s="29" t="s">
        <v>1050</v>
      </c>
      <c r="G1545" s="56" t="str">
        <f t="shared" ca="1" si="227"/>
        <v/>
      </c>
      <c r="H1545" s="28" t="str">
        <f t="shared" ca="1" si="219"/>
        <v/>
      </c>
      <c r="J1545" s="38" t="str">
        <f t="shared" si="220"/>
        <v xml:space="preserve"> </v>
      </c>
      <c r="K1545" s="39">
        <f t="shared" si="221"/>
        <v>0</v>
      </c>
      <c r="L1545" s="39" t="str">
        <f t="shared" si="222"/>
        <v/>
      </c>
      <c r="M1545" s="40" t="str">
        <f t="shared" si="223"/>
        <v xml:space="preserve"> </v>
      </c>
      <c r="N1545" s="41" t="str">
        <f t="shared" ca="1" si="224"/>
        <v/>
      </c>
      <c r="O1545" s="41" t="str">
        <f t="shared" si="225"/>
        <v xml:space="preserve"> </v>
      </c>
      <c r="P1545" s="60">
        <f t="shared" si="226"/>
        <v>0</v>
      </c>
      <c r="Q1545" s="61"/>
    </row>
    <row r="1546" spans="1:17" ht="13">
      <c r="A1546" s="28">
        <v>0</v>
      </c>
      <c r="B1546" s="28" t="s">
        <v>1053</v>
      </c>
      <c r="C1546" s="129" t="s">
        <v>1050</v>
      </c>
      <c r="D1546" s="128">
        <v>0</v>
      </c>
      <c r="E1546" s="128" t="s">
        <v>1050</v>
      </c>
      <c r="F1546" s="29" t="s">
        <v>1050</v>
      </c>
      <c r="G1546" s="56" t="str">
        <f t="shared" ca="1" si="227"/>
        <v/>
      </c>
      <c r="H1546" s="28" t="str">
        <f t="shared" ca="1" si="219"/>
        <v/>
      </c>
      <c r="J1546" s="38" t="str">
        <f t="shared" si="220"/>
        <v xml:space="preserve"> </v>
      </c>
      <c r="K1546" s="39">
        <f t="shared" si="221"/>
        <v>0</v>
      </c>
      <c r="L1546" s="39" t="str">
        <f t="shared" si="222"/>
        <v/>
      </c>
      <c r="M1546" s="40" t="str">
        <f t="shared" si="223"/>
        <v xml:space="preserve"> </v>
      </c>
      <c r="N1546" s="41" t="str">
        <f t="shared" ca="1" si="224"/>
        <v/>
      </c>
      <c r="O1546" s="41" t="str">
        <f t="shared" si="225"/>
        <v xml:space="preserve"> </v>
      </c>
      <c r="P1546" s="60">
        <f t="shared" si="226"/>
        <v>0</v>
      </c>
      <c r="Q1546" s="61"/>
    </row>
    <row r="1547" spans="1:17" ht="13">
      <c r="A1547" s="28">
        <v>0</v>
      </c>
      <c r="B1547" s="28" t="s">
        <v>1053</v>
      </c>
      <c r="C1547" s="129" t="s">
        <v>1050</v>
      </c>
      <c r="D1547" s="128">
        <v>0</v>
      </c>
      <c r="E1547" s="128" t="s">
        <v>1050</v>
      </c>
      <c r="F1547" s="29" t="s">
        <v>1050</v>
      </c>
      <c r="G1547" s="56" t="str">
        <f t="shared" ca="1" si="227"/>
        <v/>
      </c>
      <c r="H1547" s="28" t="str">
        <f t="shared" ca="1" si="219"/>
        <v/>
      </c>
      <c r="J1547" s="38" t="str">
        <f t="shared" si="220"/>
        <v xml:space="preserve"> </v>
      </c>
      <c r="K1547" s="39">
        <f t="shared" si="221"/>
        <v>0</v>
      </c>
      <c r="L1547" s="39" t="str">
        <f t="shared" si="222"/>
        <v/>
      </c>
      <c r="M1547" s="40" t="str">
        <f t="shared" si="223"/>
        <v xml:space="preserve"> </v>
      </c>
      <c r="N1547" s="41" t="str">
        <f t="shared" ca="1" si="224"/>
        <v/>
      </c>
      <c r="O1547" s="41" t="str">
        <f t="shared" si="225"/>
        <v xml:space="preserve"> </v>
      </c>
      <c r="P1547" s="60">
        <f t="shared" si="226"/>
        <v>0</v>
      </c>
      <c r="Q1547" s="61"/>
    </row>
    <row r="1548" spans="1:17" ht="13">
      <c r="A1548" s="28">
        <v>0</v>
      </c>
      <c r="B1548" s="28" t="s">
        <v>1053</v>
      </c>
      <c r="C1548" s="129" t="s">
        <v>1050</v>
      </c>
      <c r="D1548" s="128">
        <v>0</v>
      </c>
      <c r="E1548" s="128" t="s">
        <v>1050</v>
      </c>
      <c r="F1548" s="29" t="s">
        <v>1050</v>
      </c>
      <c r="G1548" s="56" t="str">
        <f t="shared" ca="1" si="227"/>
        <v/>
      </c>
      <c r="H1548" s="28" t="str">
        <f t="shared" ca="1" si="219"/>
        <v/>
      </c>
      <c r="J1548" s="38" t="str">
        <f t="shared" si="220"/>
        <v xml:space="preserve"> </v>
      </c>
      <c r="K1548" s="39">
        <f t="shared" si="221"/>
        <v>0</v>
      </c>
      <c r="L1548" s="39" t="str">
        <f t="shared" si="222"/>
        <v/>
      </c>
      <c r="M1548" s="40" t="str">
        <f t="shared" si="223"/>
        <v xml:space="preserve"> </v>
      </c>
      <c r="N1548" s="41" t="str">
        <f t="shared" ca="1" si="224"/>
        <v/>
      </c>
      <c r="O1548" s="41" t="str">
        <f t="shared" si="225"/>
        <v xml:space="preserve"> </v>
      </c>
      <c r="P1548" s="60">
        <f t="shared" si="226"/>
        <v>0</v>
      </c>
      <c r="Q1548" s="61"/>
    </row>
    <row r="1549" spans="1:17" ht="13">
      <c r="A1549" s="28">
        <v>0</v>
      </c>
      <c r="B1549" s="28" t="s">
        <v>1053</v>
      </c>
      <c r="C1549" s="129" t="s">
        <v>1050</v>
      </c>
      <c r="D1549" s="128">
        <v>0</v>
      </c>
      <c r="E1549" s="128" t="s">
        <v>1050</v>
      </c>
      <c r="F1549" s="29" t="s">
        <v>1050</v>
      </c>
      <c r="G1549" s="56" t="str">
        <f t="shared" ca="1" si="227"/>
        <v/>
      </c>
      <c r="H1549" s="28" t="str">
        <f t="shared" ca="1" si="219"/>
        <v/>
      </c>
      <c r="J1549" s="38" t="str">
        <f t="shared" si="220"/>
        <v xml:space="preserve"> </v>
      </c>
      <c r="K1549" s="39">
        <f t="shared" si="221"/>
        <v>0</v>
      </c>
      <c r="L1549" s="39" t="str">
        <f t="shared" si="222"/>
        <v/>
      </c>
      <c r="M1549" s="40" t="str">
        <f t="shared" si="223"/>
        <v xml:space="preserve"> </v>
      </c>
      <c r="N1549" s="41" t="str">
        <f t="shared" ca="1" si="224"/>
        <v/>
      </c>
      <c r="O1549" s="41" t="str">
        <f t="shared" si="225"/>
        <v xml:space="preserve"> </v>
      </c>
      <c r="P1549" s="60">
        <f t="shared" si="226"/>
        <v>0</v>
      </c>
      <c r="Q1549" s="61"/>
    </row>
    <row r="1550" spans="1:17" ht="13">
      <c r="A1550" s="28">
        <v>0</v>
      </c>
      <c r="B1550" s="28" t="s">
        <v>1053</v>
      </c>
      <c r="C1550" s="129" t="s">
        <v>1050</v>
      </c>
      <c r="D1550" s="128">
        <v>0</v>
      </c>
      <c r="E1550" s="128" t="s">
        <v>1050</v>
      </c>
      <c r="F1550" s="29" t="s">
        <v>1050</v>
      </c>
      <c r="G1550" s="56" t="str">
        <f t="shared" ca="1" si="227"/>
        <v/>
      </c>
      <c r="H1550" s="28" t="str">
        <f t="shared" ca="1" si="219"/>
        <v/>
      </c>
      <c r="J1550" s="38" t="str">
        <f t="shared" si="220"/>
        <v xml:space="preserve"> </v>
      </c>
      <c r="K1550" s="39">
        <f t="shared" si="221"/>
        <v>0</v>
      </c>
      <c r="L1550" s="39" t="str">
        <f t="shared" si="222"/>
        <v/>
      </c>
      <c r="M1550" s="40" t="str">
        <f t="shared" si="223"/>
        <v xml:space="preserve"> </v>
      </c>
      <c r="N1550" s="41" t="str">
        <f t="shared" ca="1" si="224"/>
        <v/>
      </c>
      <c r="O1550" s="41" t="str">
        <f t="shared" si="225"/>
        <v xml:space="preserve"> </v>
      </c>
      <c r="P1550" s="60">
        <f t="shared" si="226"/>
        <v>0</v>
      </c>
      <c r="Q1550" s="61"/>
    </row>
    <row r="1551" spans="1:17" ht="13">
      <c r="A1551" s="28">
        <v>0</v>
      </c>
      <c r="B1551" s="28" t="s">
        <v>1053</v>
      </c>
      <c r="C1551" s="129" t="s">
        <v>1050</v>
      </c>
      <c r="D1551" s="128">
        <v>0</v>
      </c>
      <c r="E1551" s="128" t="s">
        <v>1050</v>
      </c>
      <c r="F1551" s="29" t="s">
        <v>1050</v>
      </c>
      <c r="G1551" s="56" t="str">
        <f t="shared" ca="1" si="227"/>
        <v/>
      </c>
      <c r="H1551" s="28" t="str">
        <f t="shared" ca="1" si="219"/>
        <v/>
      </c>
      <c r="J1551" s="38" t="str">
        <f t="shared" si="220"/>
        <v xml:space="preserve"> </v>
      </c>
      <c r="K1551" s="39">
        <f t="shared" si="221"/>
        <v>0</v>
      </c>
      <c r="L1551" s="39" t="str">
        <f t="shared" si="222"/>
        <v/>
      </c>
      <c r="M1551" s="40" t="str">
        <f t="shared" si="223"/>
        <v xml:space="preserve"> </v>
      </c>
      <c r="N1551" s="41" t="str">
        <f t="shared" ca="1" si="224"/>
        <v/>
      </c>
      <c r="O1551" s="41" t="str">
        <f t="shared" si="225"/>
        <v xml:space="preserve"> </v>
      </c>
      <c r="P1551" s="60">
        <f t="shared" si="226"/>
        <v>0</v>
      </c>
      <c r="Q1551" s="61"/>
    </row>
    <row r="1552" spans="1:17" ht="13">
      <c r="A1552" s="28">
        <v>0</v>
      </c>
      <c r="B1552" s="28" t="s">
        <v>1053</v>
      </c>
      <c r="C1552" s="129" t="s">
        <v>1050</v>
      </c>
      <c r="D1552" s="128">
        <v>0</v>
      </c>
      <c r="E1552" s="128" t="s">
        <v>1050</v>
      </c>
      <c r="F1552" s="29" t="s">
        <v>1050</v>
      </c>
      <c r="G1552" s="56" t="str">
        <f t="shared" ca="1" si="227"/>
        <v/>
      </c>
      <c r="H1552" s="28" t="str">
        <f t="shared" ca="1" si="219"/>
        <v/>
      </c>
      <c r="J1552" s="38" t="str">
        <f t="shared" si="220"/>
        <v xml:space="preserve"> </v>
      </c>
      <c r="K1552" s="39">
        <f t="shared" si="221"/>
        <v>0</v>
      </c>
      <c r="L1552" s="39" t="str">
        <f t="shared" si="222"/>
        <v/>
      </c>
      <c r="M1552" s="40" t="str">
        <f t="shared" si="223"/>
        <v xml:space="preserve"> </v>
      </c>
      <c r="N1552" s="41" t="str">
        <f t="shared" ca="1" si="224"/>
        <v/>
      </c>
      <c r="O1552" s="41" t="str">
        <f t="shared" si="225"/>
        <v xml:space="preserve"> </v>
      </c>
      <c r="P1552" s="60">
        <f t="shared" si="226"/>
        <v>0</v>
      </c>
      <c r="Q1552" s="61"/>
    </row>
    <row r="1553" spans="1:17" ht="13">
      <c r="A1553" s="28">
        <v>0</v>
      </c>
      <c r="B1553" s="28" t="s">
        <v>1053</v>
      </c>
      <c r="C1553" s="129" t="s">
        <v>1050</v>
      </c>
      <c r="D1553" s="128">
        <v>0</v>
      </c>
      <c r="E1553" s="128" t="s">
        <v>1050</v>
      </c>
      <c r="F1553" s="29" t="s">
        <v>1050</v>
      </c>
      <c r="G1553" s="56" t="str">
        <f t="shared" ca="1" si="227"/>
        <v/>
      </c>
      <c r="H1553" s="28" t="str">
        <f t="shared" ca="1" si="219"/>
        <v/>
      </c>
      <c r="J1553" s="38" t="str">
        <f t="shared" si="220"/>
        <v xml:space="preserve"> </v>
      </c>
      <c r="K1553" s="39">
        <f t="shared" si="221"/>
        <v>0</v>
      </c>
      <c r="L1553" s="39" t="str">
        <f t="shared" si="222"/>
        <v/>
      </c>
      <c r="M1553" s="40" t="str">
        <f t="shared" si="223"/>
        <v xml:space="preserve"> </v>
      </c>
      <c r="N1553" s="41" t="str">
        <f t="shared" ca="1" si="224"/>
        <v/>
      </c>
      <c r="O1553" s="41" t="str">
        <f t="shared" si="225"/>
        <v xml:space="preserve"> </v>
      </c>
      <c r="P1553" s="60">
        <f t="shared" si="226"/>
        <v>0</v>
      </c>
      <c r="Q1553" s="61"/>
    </row>
    <row r="1554" spans="1:17" ht="13">
      <c r="A1554" s="28">
        <v>0</v>
      </c>
      <c r="B1554" s="28" t="s">
        <v>1053</v>
      </c>
      <c r="C1554" s="129" t="s">
        <v>1050</v>
      </c>
      <c r="D1554" s="128">
        <v>0</v>
      </c>
      <c r="E1554" s="128" t="s">
        <v>1050</v>
      </c>
      <c r="F1554" s="29" t="s">
        <v>1050</v>
      </c>
      <c r="G1554" s="56" t="str">
        <f t="shared" ca="1" si="227"/>
        <v/>
      </c>
      <c r="H1554" s="28" t="str">
        <f t="shared" ca="1" si="219"/>
        <v/>
      </c>
      <c r="J1554" s="38" t="str">
        <f t="shared" si="220"/>
        <v xml:space="preserve"> </v>
      </c>
      <c r="K1554" s="39">
        <f t="shared" si="221"/>
        <v>0</v>
      </c>
      <c r="L1554" s="39" t="str">
        <f t="shared" si="222"/>
        <v/>
      </c>
      <c r="M1554" s="40" t="str">
        <f t="shared" si="223"/>
        <v xml:space="preserve"> </v>
      </c>
      <c r="N1554" s="41" t="str">
        <f t="shared" ca="1" si="224"/>
        <v/>
      </c>
      <c r="O1554" s="41" t="str">
        <f t="shared" si="225"/>
        <v xml:space="preserve"> </v>
      </c>
      <c r="P1554" s="60">
        <f t="shared" si="226"/>
        <v>0</v>
      </c>
      <c r="Q1554" s="61"/>
    </row>
    <row r="1555" spans="1:17" ht="13">
      <c r="A1555" s="28">
        <v>0</v>
      </c>
      <c r="B1555" s="28" t="s">
        <v>1053</v>
      </c>
      <c r="C1555" s="129" t="s">
        <v>1050</v>
      </c>
      <c r="D1555" s="128">
        <v>0</v>
      </c>
      <c r="E1555" s="128" t="s">
        <v>1050</v>
      </c>
      <c r="F1555" s="29" t="s">
        <v>1050</v>
      </c>
      <c r="G1555" s="56" t="str">
        <f t="shared" ca="1" si="227"/>
        <v/>
      </c>
      <c r="H1555" s="28" t="str">
        <f t="shared" ca="1" si="219"/>
        <v/>
      </c>
      <c r="J1555" s="38" t="str">
        <f t="shared" si="220"/>
        <v xml:space="preserve"> </v>
      </c>
      <c r="K1555" s="39">
        <f t="shared" si="221"/>
        <v>0</v>
      </c>
      <c r="L1555" s="39" t="str">
        <f t="shared" si="222"/>
        <v/>
      </c>
      <c r="M1555" s="40" t="str">
        <f t="shared" si="223"/>
        <v xml:space="preserve"> </v>
      </c>
      <c r="N1555" s="41" t="str">
        <f t="shared" ca="1" si="224"/>
        <v/>
      </c>
      <c r="O1555" s="41" t="str">
        <f t="shared" si="225"/>
        <v xml:space="preserve"> </v>
      </c>
      <c r="P1555" s="60">
        <f t="shared" si="226"/>
        <v>0</v>
      </c>
      <c r="Q1555" s="61"/>
    </row>
    <row r="1556" spans="1:17" ht="13">
      <c r="A1556" s="28">
        <v>0</v>
      </c>
      <c r="B1556" s="28" t="s">
        <v>1053</v>
      </c>
      <c r="C1556" s="129" t="s">
        <v>1050</v>
      </c>
      <c r="D1556" s="128">
        <v>0</v>
      </c>
      <c r="E1556" s="128" t="s">
        <v>1050</v>
      </c>
      <c r="F1556" s="29" t="s">
        <v>1050</v>
      </c>
      <c r="G1556" s="56" t="str">
        <f t="shared" ca="1" si="227"/>
        <v/>
      </c>
      <c r="H1556" s="28" t="str">
        <f t="shared" ca="1" si="219"/>
        <v/>
      </c>
      <c r="J1556" s="38" t="str">
        <f t="shared" si="220"/>
        <v xml:space="preserve"> </v>
      </c>
      <c r="K1556" s="39">
        <f t="shared" si="221"/>
        <v>0</v>
      </c>
      <c r="L1556" s="39" t="str">
        <f t="shared" si="222"/>
        <v/>
      </c>
      <c r="M1556" s="40" t="str">
        <f t="shared" si="223"/>
        <v xml:space="preserve"> </v>
      </c>
      <c r="N1556" s="41" t="str">
        <f t="shared" ca="1" si="224"/>
        <v/>
      </c>
      <c r="O1556" s="41" t="str">
        <f t="shared" si="225"/>
        <v xml:space="preserve"> </v>
      </c>
      <c r="P1556" s="60">
        <f t="shared" si="226"/>
        <v>0</v>
      </c>
      <c r="Q1556" s="61"/>
    </row>
    <row r="1557" spans="1:17" ht="13">
      <c r="A1557" s="28">
        <v>0</v>
      </c>
      <c r="B1557" s="28" t="s">
        <v>1053</v>
      </c>
      <c r="C1557" s="129" t="s">
        <v>1050</v>
      </c>
      <c r="D1557" s="128">
        <v>0</v>
      </c>
      <c r="E1557" s="128" t="s">
        <v>1050</v>
      </c>
      <c r="F1557" s="29" t="s">
        <v>1050</v>
      </c>
      <c r="G1557" s="56" t="str">
        <f t="shared" ca="1" si="227"/>
        <v/>
      </c>
      <c r="H1557" s="28" t="str">
        <f t="shared" ca="1" si="219"/>
        <v/>
      </c>
      <c r="J1557" s="38" t="str">
        <f t="shared" si="220"/>
        <v xml:space="preserve"> </v>
      </c>
      <c r="K1557" s="39">
        <f t="shared" si="221"/>
        <v>0</v>
      </c>
      <c r="L1557" s="39" t="str">
        <f t="shared" si="222"/>
        <v/>
      </c>
      <c r="M1557" s="40" t="str">
        <f t="shared" si="223"/>
        <v xml:space="preserve"> </v>
      </c>
      <c r="N1557" s="41" t="str">
        <f t="shared" ca="1" si="224"/>
        <v/>
      </c>
      <c r="O1557" s="41" t="str">
        <f t="shared" si="225"/>
        <v xml:space="preserve"> </v>
      </c>
      <c r="P1557" s="60">
        <f t="shared" si="226"/>
        <v>0</v>
      </c>
      <c r="Q1557" s="61"/>
    </row>
    <row r="1558" spans="1:17" ht="13">
      <c r="A1558" s="28">
        <v>0</v>
      </c>
      <c r="B1558" s="28" t="s">
        <v>1053</v>
      </c>
      <c r="C1558" s="129" t="s">
        <v>1050</v>
      </c>
      <c r="D1558" s="128">
        <v>0</v>
      </c>
      <c r="E1558" s="128" t="s">
        <v>1050</v>
      </c>
      <c r="F1558" s="29" t="s">
        <v>1050</v>
      </c>
      <c r="G1558" s="56" t="str">
        <f t="shared" ca="1" si="227"/>
        <v/>
      </c>
      <c r="H1558" s="28" t="str">
        <f t="shared" ca="1" si="219"/>
        <v/>
      </c>
      <c r="J1558" s="38" t="str">
        <f t="shared" si="220"/>
        <v xml:space="preserve"> </v>
      </c>
      <c r="K1558" s="39">
        <f t="shared" si="221"/>
        <v>0</v>
      </c>
      <c r="L1558" s="39" t="str">
        <f t="shared" si="222"/>
        <v/>
      </c>
      <c r="M1558" s="40" t="str">
        <f t="shared" si="223"/>
        <v xml:space="preserve"> </v>
      </c>
      <c r="N1558" s="41" t="str">
        <f t="shared" ca="1" si="224"/>
        <v/>
      </c>
      <c r="O1558" s="41" t="str">
        <f t="shared" si="225"/>
        <v xml:space="preserve"> </v>
      </c>
      <c r="P1558" s="60">
        <f t="shared" si="226"/>
        <v>0</v>
      </c>
      <c r="Q1558" s="61"/>
    </row>
    <row r="1559" spans="1:17" ht="13">
      <c r="A1559" s="28">
        <v>0</v>
      </c>
      <c r="B1559" s="28" t="s">
        <v>1053</v>
      </c>
      <c r="C1559" s="129" t="s">
        <v>1050</v>
      </c>
      <c r="D1559" s="128">
        <v>0</v>
      </c>
      <c r="E1559" s="128" t="s">
        <v>1050</v>
      </c>
      <c r="F1559" s="29" t="s">
        <v>1050</v>
      </c>
      <c r="G1559" s="56" t="str">
        <f t="shared" ca="1" si="227"/>
        <v/>
      </c>
      <c r="H1559" s="28" t="str">
        <f t="shared" ca="1" si="219"/>
        <v/>
      </c>
      <c r="J1559" s="38" t="str">
        <f t="shared" si="220"/>
        <v xml:space="preserve"> </v>
      </c>
      <c r="K1559" s="39">
        <f t="shared" si="221"/>
        <v>0</v>
      </c>
      <c r="L1559" s="39" t="str">
        <f t="shared" si="222"/>
        <v/>
      </c>
      <c r="M1559" s="40" t="str">
        <f t="shared" si="223"/>
        <v xml:space="preserve"> </v>
      </c>
      <c r="N1559" s="41" t="str">
        <f t="shared" ca="1" si="224"/>
        <v/>
      </c>
      <c r="O1559" s="41" t="str">
        <f t="shared" si="225"/>
        <v xml:space="preserve"> </v>
      </c>
      <c r="P1559" s="60">
        <f t="shared" si="226"/>
        <v>0</v>
      </c>
      <c r="Q1559" s="61"/>
    </row>
    <row r="1560" spans="1:17" ht="13">
      <c r="A1560" s="28">
        <v>0</v>
      </c>
      <c r="B1560" s="28" t="s">
        <v>1053</v>
      </c>
      <c r="C1560" s="129" t="s">
        <v>1050</v>
      </c>
      <c r="D1560" s="128">
        <v>0</v>
      </c>
      <c r="E1560" s="128" t="s">
        <v>1050</v>
      </c>
      <c r="F1560" s="29" t="s">
        <v>1050</v>
      </c>
      <c r="G1560" s="56" t="str">
        <f t="shared" ca="1" si="227"/>
        <v/>
      </c>
      <c r="H1560" s="28" t="str">
        <f t="shared" ca="1" si="219"/>
        <v/>
      </c>
      <c r="J1560" s="38" t="str">
        <f t="shared" si="220"/>
        <v xml:space="preserve"> </v>
      </c>
      <c r="K1560" s="39">
        <f t="shared" si="221"/>
        <v>0</v>
      </c>
      <c r="L1560" s="39" t="str">
        <f t="shared" si="222"/>
        <v/>
      </c>
      <c r="M1560" s="40" t="str">
        <f t="shared" si="223"/>
        <v xml:space="preserve"> </v>
      </c>
      <c r="N1560" s="41" t="str">
        <f t="shared" ca="1" si="224"/>
        <v/>
      </c>
      <c r="O1560" s="41" t="str">
        <f t="shared" si="225"/>
        <v xml:space="preserve"> </v>
      </c>
      <c r="P1560" s="60">
        <f t="shared" si="226"/>
        <v>0</v>
      </c>
      <c r="Q1560" s="61"/>
    </row>
    <row r="1561" spans="1:17" ht="13">
      <c r="A1561" s="28">
        <v>0</v>
      </c>
      <c r="B1561" s="28" t="s">
        <v>1053</v>
      </c>
      <c r="C1561" s="129" t="s">
        <v>1050</v>
      </c>
      <c r="D1561" s="128">
        <v>0</v>
      </c>
      <c r="E1561" s="128" t="s">
        <v>1050</v>
      </c>
      <c r="F1561" s="29" t="s">
        <v>1050</v>
      </c>
      <c r="G1561" s="56" t="str">
        <f t="shared" ca="1" si="227"/>
        <v/>
      </c>
      <c r="H1561" s="28" t="str">
        <f t="shared" ca="1" si="219"/>
        <v/>
      </c>
      <c r="J1561" s="38" t="str">
        <f t="shared" si="220"/>
        <v xml:space="preserve"> </v>
      </c>
      <c r="K1561" s="39">
        <f t="shared" si="221"/>
        <v>0</v>
      </c>
      <c r="L1561" s="39" t="str">
        <f t="shared" si="222"/>
        <v/>
      </c>
      <c r="M1561" s="40" t="str">
        <f t="shared" si="223"/>
        <v xml:space="preserve"> </v>
      </c>
      <c r="N1561" s="41" t="str">
        <f t="shared" ca="1" si="224"/>
        <v/>
      </c>
      <c r="O1561" s="41" t="str">
        <f t="shared" si="225"/>
        <v xml:space="preserve"> </v>
      </c>
      <c r="P1561" s="60">
        <f t="shared" si="226"/>
        <v>0</v>
      </c>
      <c r="Q1561" s="61"/>
    </row>
    <row r="1562" spans="1:17" ht="13">
      <c r="A1562" s="28">
        <v>0</v>
      </c>
      <c r="B1562" s="28" t="s">
        <v>1053</v>
      </c>
      <c r="C1562" s="129" t="s">
        <v>1050</v>
      </c>
      <c r="D1562" s="128">
        <v>0</v>
      </c>
      <c r="E1562" s="128" t="s">
        <v>1050</v>
      </c>
      <c r="F1562" s="29" t="s">
        <v>1050</v>
      </c>
      <c r="G1562" s="56" t="str">
        <f t="shared" ca="1" si="227"/>
        <v/>
      </c>
      <c r="H1562" s="28" t="str">
        <f t="shared" ca="1" si="219"/>
        <v/>
      </c>
      <c r="J1562" s="38" t="str">
        <f t="shared" si="220"/>
        <v xml:space="preserve"> </v>
      </c>
      <c r="K1562" s="39">
        <f t="shared" si="221"/>
        <v>0</v>
      </c>
      <c r="L1562" s="39" t="str">
        <f t="shared" si="222"/>
        <v/>
      </c>
      <c r="M1562" s="40" t="str">
        <f t="shared" si="223"/>
        <v xml:space="preserve"> </v>
      </c>
      <c r="N1562" s="41" t="str">
        <f t="shared" ca="1" si="224"/>
        <v/>
      </c>
      <c r="O1562" s="41" t="str">
        <f t="shared" si="225"/>
        <v xml:space="preserve"> </v>
      </c>
      <c r="P1562" s="60">
        <f t="shared" si="226"/>
        <v>0</v>
      </c>
      <c r="Q1562" s="61"/>
    </row>
    <row r="1563" spans="1:17" ht="13">
      <c r="A1563" s="28">
        <v>0</v>
      </c>
      <c r="B1563" s="28" t="s">
        <v>1053</v>
      </c>
      <c r="C1563" s="129" t="s">
        <v>1050</v>
      </c>
      <c r="D1563" s="128">
        <v>0</v>
      </c>
      <c r="E1563" s="128" t="s">
        <v>1050</v>
      </c>
      <c r="F1563" s="29" t="s">
        <v>1050</v>
      </c>
      <c r="G1563" s="56" t="str">
        <f t="shared" ca="1" si="227"/>
        <v/>
      </c>
      <c r="H1563" s="28" t="str">
        <f t="shared" ca="1" si="219"/>
        <v/>
      </c>
      <c r="J1563" s="38" t="str">
        <f t="shared" si="220"/>
        <v xml:space="preserve"> </v>
      </c>
      <c r="K1563" s="39">
        <f t="shared" si="221"/>
        <v>0</v>
      </c>
      <c r="L1563" s="39" t="str">
        <f t="shared" si="222"/>
        <v/>
      </c>
      <c r="M1563" s="40" t="str">
        <f t="shared" si="223"/>
        <v xml:space="preserve"> </v>
      </c>
      <c r="N1563" s="41" t="str">
        <f t="shared" ca="1" si="224"/>
        <v/>
      </c>
      <c r="O1563" s="41" t="str">
        <f t="shared" si="225"/>
        <v xml:space="preserve"> </v>
      </c>
      <c r="P1563" s="60">
        <f t="shared" si="226"/>
        <v>0</v>
      </c>
      <c r="Q1563" s="61"/>
    </row>
    <row r="1564" spans="1:17" ht="13">
      <c r="A1564" s="28">
        <v>0</v>
      </c>
      <c r="B1564" s="28" t="s">
        <v>1053</v>
      </c>
      <c r="C1564" s="129" t="s">
        <v>1050</v>
      </c>
      <c r="D1564" s="128">
        <v>0</v>
      </c>
      <c r="E1564" s="128" t="s">
        <v>1050</v>
      </c>
      <c r="F1564" s="29" t="s">
        <v>1050</v>
      </c>
      <c r="G1564" s="56" t="str">
        <f t="shared" ca="1" si="227"/>
        <v/>
      </c>
      <c r="H1564" s="28" t="str">
        <f t="shared" ca="1" si="219"/>
        <v/>
      </c>
      <c r="J1564" s="38" t="str">
        <f t="shared" si="220"/>
        <v xml:space="preserve"> </v>
      </c>
      <c r="K1564" s="39">
        <f t="shared" si="221"/>
        <v>0</v>
      </c>
      <c r="L1564" s="39" t="str">
        <f t="shared" si="222"/>
        <v/>
      </c>
      <c r="M1564" s="40" t="str">
        <f t="shared" si="223"/>
        <v xml:space="preserve"> </v>
      </c>
      <c r="N1564" s="41" t="str">
        <f t="shared" ca="1" si="224"/>
        <v/>
      </c>
      <c r="O1564" s="41" t="str">
        <f t="shared" si="225"/>
        <v xml:space="preserve"> </v>
      </c>
      <c r="P1564" s="60">
        <f t="shared" si="226"/>
        <v>0</v>
      </c>
      <c r="Q1564" s="61"/>
    </row>
    <row r="1565" spans="1:17" ht="13">
      <c r="A1565" s="28">
        <v>0</v>
      </c>
      <c r="B1565" s="28" t="s">
        <v>1053</v>
      </c>
      <c r="C1565" s="129" t="s">
        <v>1050</v>
      </c>
      <c r="D1565" s="128">
        <v>0</v>
      </c>
      <c r="E1565" s="128" t="s">
        <v>1050</v>
      </c>
      <c r="F1565" s="29" t="s">
        <v>1050</v>
      </c>
      <c r="G1565" s="56" t="str">
        <f t="shared" ca="1" si="227"/>
        <v/>
      </c>
      <c r="H1565" s="28" t="str">
        <f t="shared" ref="H1565:H1600" ca="1" si="228">IFERROR(IF($A1565&gt;0,ROUNDDOWN(INT(TODAY()-F1565)/365.25,0),""),"")</f>
        <v/>
      </c>
      <c r="J1565" s="38" t="str">
        <f t="shared" ref="J1565:J1600" si="229">C1565</f>
        <v xml:space="preserve"> </v>
      </c>
      <c r="K1565" s="39">
        <f t="shared" ref="K1565:K1600" si="230">A1565</f>
        <v>0</v>
      </c>
      <c r="L1565" s="39" t="str">
        <f t="shared" ref="L1565:L1600" si="231">B1565</f>
        <v/>
      </c>
      <c r="M1565" s="40" t="str">
        <f t="shared" ref="M1565:M1600" si="232">F1565</f>
        <v xml:space="preserve"> </v>
      </c>
      <c r="N1565" s="41" t="str">
        <f t="shared" ref="N1565:N1600" ca="1" si="233">G1565</f>
        <v/>
      </c>
      <c r="O1565" s="41" t="str">
        <f t="shared" ref="O1565:O1600" si="234">E1565</f>
        <v xml:space="preserve"> </v>
      </c>
      <c r="P1565" s="60">
        <f t="shared" ref="P1565:P1600" si="235">D1565</f>
        <v>0</v>
      </c>
      <c r="Q1565" s="61"/>
    </row>
    <row r="1566" spans="1:17" ht="13">
      <c r="A1566" s="28">
        <v>0</v>
      </c>
      <c r="B1566" s="28" t="s">
        <v>1053</v>
      </c>
      <c r="C1566" s="129" t="s">
        <v>1050</v>
      </c>
      <c r="D1566" s="128">
        <v>0</v>
      </c>
      <c r="E1566" s="128" t="s">
        <v>1050</v>
      </c>
      <c r="F1566" s="29" t="s">
        <v>1050</v>
      </c>
      <c r="G1566" s="56" t="str">
        <f t="shared" ca="1" si="227"/>
        <v/>
      </c>
      <c r="H1566" s="28" t="str">
        <f t="shared" ca="1" si="228"/>
        <v/>
      </c>
      <c r="J1566" s="38" t="str">
        <f t="shared" si="229"/>
        <v xml:space="preserve"> </v>
      </c>
      <c r="K1566" s="39">
        <f t="shared" si="230"/>
        <v>0</v>
      </c>
      <c r="L1566" s="39" t="str">
        <f t="shared" si="231"/>
        <v/>
      </c>
      <c r="M1566" s="40" t="str">
        <f t="shared" si="232"/>
        <v xml:space="preserve"> </v>
      </c>
      <c r="N1566" s="41" t="str">
        <f t="shared" ca="1" si="233"/>
        <v/>
      </c>
      <c r="O1566" s="41" t="str">
        <f t="shared" si="234"/>
        <v xml:space="preserve"> </v>
      </c>
      <c r="P1566" s="60">
        <f t="shared" si="235"/>
        <v>0</v>
      </c>
      <c r="Q1566" s="61"/>
    </row>
    <row r="1567" spans="1:17" ht="13">
      <c r="A1567" s="28">
        <v>0</v>
      </c>
      <c r="B1567" s="28" t="s">
        <v>1053</v>
      </c>
      <c r="C1567" s="129" t="s">
        <v>1050</v>
      </c>
      <c r="D1567" s="128">
        <v>0</v>
      </c>
      <c r="E1567" s="128" t="s">
        <v>1050</v>
      </c>
      <c r="F1567" s="29" t="s">
        <v>1050</v>
      </c>
      <c r="G1567" s="56" t="str">
        <f t="shared" ca="1" si="227"/>
        <v/>
      </c>
      <c r="H1567" s="28" t="str">
        <f t="shared" ca="1" si="228"/>
        <v/>
      </c>
      <c r="J1567" s="38" t="str">
        <f t="shared" si="229"/>
        <v xml:space="preserve"> </v>
      </c>
      <c r="K1567" s="39">
        <f t="shared" si="230"/>
        <v>0</v>
      </c>
      <c r="L1567" s="39" t="str">
        <f t="shared" si="231"/>
        <v/>
      </c>
      <c r="M1567" s="40" t="str">
        <f t="shared" si="232"/>
        <v xml:space="preserve"> </v>
      </c>
      <c r="N1567" s="41" t="str">
        <f t="shared" ca="1" si="233"/>
        <v/>
      </c>
      <c r="O1567" s="41" t="str">
        <f t="shared" si="234"/>
        <v xml:space="preserve"> </v>
      </c>
      <c r="P1567" s="60">
        <f t="shared" si="235"/>
        <v>0</v>
      </c>
      <c r="Q1567" s="61"/>
    </row>
    <row r="1568" spans="1:17" ht="13">
      <c r="A1568" s="28">
        <v>0</v>
      </c>
      <c r="B1568" s="28" t="s">
        <v>1053</v>
      </c>
      <c r="C1568" s="129" t="s">
        <v>1050</v>
      </c>
      <c r="D1568" s="128">
        <v>0</v>
      </c>
      <c r="E1568" s="128" t="s">
        <v>1050</v>
      </c>
      <c r="F1568" s="29" t="s">
        <v>1050</v>
      </c>
      <c r="G1568" s="56" t="str">
        <f t="shared" ca="1" si="227"/>
        <v/>
      </c>
      <c r="H1568" s="28" t="str">
        <f t="shared" ca="1" si="228"/>
        <v/>
      </c>
      <c r="J1568" s="38" t="str">
        <f t="shared" si="229"/>
        <v xml:space="preserve"> </v>
      </c>
      <c r="K1568" s="39">
        <f t="shared" si="230"/>
        <v>0</v>
      </c>
      <c r="L1568" s="39" t="str">
        <f t="shared" si="231"/>
        <v/>
      </c>
      <c r="M1568" s="40" t="str">
        <f t="shared" si="232"/>
        <v xml:space="preserve"> </v>
      </c>
      <c r="N1568" s="41" t="str">
        <f t="shared" ca="1" si="233"/>
        <v/>
      </c>
      <c r="O1568" s="41" t="str">
        <f t="shared" si="234"/>
        <v xml:space="preserve"> </v>
      </c>
      <c r="P1568" s="60">
        <f t="shared" si="235"/>
        <v>0</v>
      </c>
      <c r="Q1568" s="61"/>
    </row>
    <row r="1569" spans="1:17" ht="13">
      <c r="A1569" s="28">
        <v>0</v>
      </c>
      <c r="B1569" s="28" t="s">
        <v>1053</v>
      </c>
      <c r="C1569" s="129" t="s">
        <v>1050</v>
      </c>
      <c r="D1569" s="128">
        <v>0</v>
      </c>
      <c r="E1569" s="128" t="s">
        <v>1050</v>
      </c>
      <c r="F1569" s="29" t="s">
        <v>1050</v>
      </c>
      <c r="G1569" s="56" t="str">
        <f t="shared" ca="1" si="227"/>
        <v/>
      </c>
      <c r="H1569" s="28" t="str">
        <f t="shared" ca="1" si="228"/>
        <v/>
      </c>
      <c r="J1569" s="38" t="str">
        <f t="shared" si="229"/>
        <v xml:space="preserve"> </v>
      </c>
      <c r="K1569" s="39">
        <f t="shared" si="230"/>
        <v>0</v>
      </c>
      <c r="L1569" s="39" t="str">
        <f t="shared" si="231"/>
        <v/>
      </c>
      <c r="M1569" s="40" t="str">
        <f t="shared" si="232"/>
        <v xml:space="preserve"> </v>
      </c>
      <c r="N1569" s="41" t="str">
        <f t="shared" ca="1" si="233"/>
        <v/>
      </c>
      <c r="O1569" s="41" t="str">
        <f t="shared" si="234"/>
        <v xml:space="preserve"> </v>
      </c>
      <c r="P1569" s="60">
        <f t="shared" si="235"/>
        <v>0</v>
      </c>
      <c r="Q1569" s="61"/>
    </row>
    <row r="1570" spans="1:17" ht="13">
      <c r="A1570" s="28">
        <v>0</v>
      </c>
      <c r="B1570" s="28" t="s">
        <v>1053</v>
      </c>
      <c r="C1570" s="129" t="s">
        <v>1050</v>
      </c>
      <c r="D1570" s="128">
        <v>0</v>
      </c>
      <c r="E1570" s="128" t="s">
        <v>1050</v>
      </c>
      <c r="F1570" s="29" t="s">
        <v>1050</v>
      </c>
      <c r="G1570" s="56" t="str">
        <f t="shared" ca="1" si="227"/>
        <v/>
      </c>
      <c r="H1570" s="28" t="str">
        <f t="shared" ca="1" si="228"/>
        <v/>
      </c>
      <c r="J1570" s="38" t="str">
        <f t="shared" si="229"/>
        <v xml:space="preserve"> </v>
      </c>
      <c r="K1570" s="39">
        <f t="shared" si="230"/>
        <v>0</v>
      </c>
      <c r="L1570" s="39" t="str">
        <f t="shared" si="231"/>
        <v/>
      </c>
      <c r="M1570" s="40" t="str">
        <f t="shared" si="232"/>
        <v xml:space="preserve"> </v>
      </c>
      <c r="N1570" s="41" t="str">
        <f t="shared" ca="1" si="233"/>
        <v/>
      </c>
      <c r="O1570" s="41" t="str">
        <f t="shared" si="234"/>
        <v xml:space="preserve"> </v>
      </c>
      <c r="P1570" s="60">
        <f t="shared" si="235"/>
        <v>0</v>
      </c>
      <c r="Q1570" s="61"/>
    </row>
    <row r="1571" spans="1:17" ht="13">
      <c r="A1571" s="28">
        <v>0</v>
      </c>
      <c r="B1571" s="28" t="s">
        <v>1053</v>
      </c>
      <c r="C1571" s="129" t="s">
        <v>1050</v>
      </c>
      <c r="D1571" s="128">
        <v>0</v>
      </c>
      <c r="E1571" s="128" t="s">
        <v>1050</v>
      </c>
      <c r="F1571" s="29" t="s">
        <v>1050</v>
      </c>
      <c r="G1571" s="56" t="str">
        <f t="shared" ca="1" si="227"/>
        <v/>
      </c>
      <c r="H1571" s="28" t="str">
        <f t="shared" ca="1" si="228"/>
        <v/>
      </c>
      <c r="J1571" s="38" t="str">
        <f t="shared" si="229"/>
        <v xml:space="preserve"> </v>
      </c>
      <c r="K1571" s="39">
        <f t="shared" si="230"/>
        <v>0</v>
      </c>
      <c r="L1571" s="39" t="str">
        <f t="shared" si="231"/>
        <v/>
      </c>
      <c r="M1571" s="40" t="str">
        <f t="shared" si="232"/>
        <v xml:space="preserve"> </v>
      </c>
      <c r="N1571" s="41" t="str">
        <f t="shared" ca="1" si="233"/>
        <v/>
      </c>
      <c r="O1571" s="41" t="str">
        <f t="shared" si="234"/>
        <v xml:space="preserve"> </v>
      </c>
      <c r="P1571" s="60">
        <f t="shared" si="235"/>
        <v>0</v>
      </c>
      <c r="Q1571" s="61"/>
    </row>
    <row r="1572" spans="1:17" ht="13">
      <c r="A1572" s="28">
        <v>0</v>
      </c>
      <c r="B1572" s="28" t="s">
        <v>1053</v>
      </c>
      <c r="C1572" s="129" t="s">
        <v>1050</v>
      </c>
      <c r="D1572" s="128">
        <v>0</v>
      </c>
      <c r="E1572" s="128" t="s">
        <v>1050</v>
      </c>
      <c r="F1572" s="29" t="s">
        <v>1050</v>
      </c>
      <c r="G1572" s="56" t="str">
        <f t="shared" ca="1" si="227"/>
        <v/>
      </c>
      <c r="H1572" s="28" t="str">
        <f t="shared" ca="1" si="228"/>
        <v/>
      </c>
      <c r="J1572" s="38" t="str">
        <f t="shared" si="229"/>
        <v xml:space="preserve"> </v>
      </c>
      <c r="K1572" s="39">
        <f t="shared" si="230"/>
        <v>0</v>
      </c>
      <c r="L1572" s="39" t="str">
        <f t="shared" si="231"/>
        <v/>
      </c>
      <c r="M1572" s="40" t="str">
        <f t="shared" si="232"/>
        <v xml:space="preserve"> </v>
      </c>
      <c r="N1572" s="41" t="str">
        <f t="shared" ca="1" si="233"/>
        <v/>
      </c>
      <c r="O1572" s="41" t="str">
        <f t="shared" si="234"/>
        <v xml:space="preserve"> </v>
      </c>
      <c r="P1572" s="60">
        <f t="shared" si="235"/>
        <v>0</v>
      </c>
      <c r="Q1572" s="61"/>
    </row>
    <row r="1573" spans="1:17" ht="13">
      <c r="A1573" s="28">
        <v>0</v>
      </c>
      <c r="B1573" s="28" t="s">
        <v>1053</v>
      </c>
      <c r="C1573" s="129" t="s">
        <v>1050</v>
      </c>
      <c r="D1573" s="128">
        <v>0</v>
      </c>
      <c r="E1573" s="128" t="s">
        <v>1050</v>
      </c>
      <c r="F1573" s="29" t="s">
        <v>1050</v>
      </c>
      <c r="G1573" s="56" t="str">
        <f t="shared" ca="1" si="227"/>
        <v/>
      </c>
      <c r="H1573" s="28" t="str">
        <f t="shared" ca="1" si="228"/>
        <v/>
      </c>
      <c r="J1573" s="38" t="str">
        <f t="shared" si="229"/>
        <v xml:space="preserve"> </v>
      </c>
      <c r="K1573" s="39">
        <f t="shared" si="230"/>
        <v>0</v>
      </c>
      <c r="L1573" s="39" t="str">
        <f t="shared" si="231"/>
        <v/>
      </c>
      <c r="M1573" s="40" t="str">
        <f t="shared" si="232"/>
        <v xml:space="preserve"> </v>
      </c>
      <c r="N1573" s="41" t="str">
        <f t="shared" ca="1" si="233"/>
        <v/>
      </c>
      <c r="O1573" s="41" t="str">
        <f t="shared" si="234"/>
        <v xml:space="preserve"> </v>
      </c>
      <c r="P1573" s="60">
        <f t="shared" si="235"/>
        <v>0</v>
      </c>
      <c r="Q1573" s="61"/>
    </row>
    <row r="1574" spans="1:17" ht="13">
      <c r="A1574" s="28">
        <v>0</v>
      </c>
      <c r="B1574" s="28" t="s">
        <v>1053</v>
      </c>
      <c r="C1574" s="129" t="s">
        <v>1050</v>
      </c>
      <c r="D1574" s="128">
        <v>0</v>
      </c>
      <c r="E1574" s="128" t="s">
        <v>1050</v>
      </c>
      <c r="F1574" s="29" t="s">
        <v>1050</v>
      </c>
      <c r="G1574" s="56" t="str">
        <f t="shared" ca="1" si="227"/>
        <v/>
      </c>
      <c r="H1574" s="28" t="str">
        <f t="shared" ca="1" si="228"/>
        <v/>
      </c>
      <c r="J1574" s="38" t="str">
        <f t="shared" si="229"/>
        <v xml:space="preserve"> </v>
      </c>
      <c r="K1574" s="39">
        <f t="shared" si="230"/>
        <v>0</v>
      </c>
      <c r="L1574" s="39" t="str">
        <f t="shared" si="231"/>
        <v/>
      </c>
      <c r="M1574" s="40" t="str">
        <f t="shared" si="232"/>
        <v xml:space="preserve"> </v>
      </c>
      <c r="N1574" s="41" t="str">
        <f t="shared" ca="1" si="233"/>
        <v/>
      </c>
      <c r="O1574" s="41" t="str">
        <f t="shared" si="234"/>
        <v xml:space="preserve"> </v>
      </c>
      <c r="P1574" s="60">
        <f t="shared" si="235"/>
        <v>0</v>
      </c>
      <c r="Q1574" s="61"/>
    </row>
    <row r="1575" spans="1:17" ht="13">
      <c r="A1575" s="28">
        <v>0</v>
      </c>
      <c r="B1575" s="28" t="s">
        <v>1053</v>
      </c>
      <c r="C1575" s="129" t="s">
        <v>1050</v>
      </c>
      <c r="D1575" s="128">
        <v>0</v>
      </c>
      <c r="E1575" s="128" t="s">
        <v>1050</v>
      </c>
      <c r="F1575" s="29" t="s">
        <v>1050</v>
      </c>
      <c r="G1575" s="56" t="str">
        <f t="shared" ca="1" si="227"/>
        <v/>
      </c>
      <c r="H1575" s="28" t="str">
        <f t="shared" ca="1" si="228"/>
        <v/>
      </c>
      <c r="J1575" s="38" t="str">
        <f t="shared" si="229"/>
        <v xml:space="preserve"> </v>
      </c>
      <c r="K1575" s="39">
        <f t="shared" si="230"/>
        <v>0</v>
      </c>
      <c r="L1575" s="39" t="str">
        <f t="shared" si="231"/>
        <v/>
      </c>
      <c r="M1575" s="40" t="str">
        <f t="shared" si="232"/>
        <v xml:space="preserve"> </v>
      </c>
      <c r="N1575" s="41" t="str">
        <f t="shared" ca="1" si="233"/>
        <v/>
      </c>
      <c r="O1575" s="41" t="str">
        <f t="shared" si="234"/>
        <v xml:space="preserve"> </v>
      </c>
      <c r="P1575" s="60">
        <f t="shared" si="235"/>
        <v>0</v>
      </c>
      <c r="Q1575" s="61"/>
    </row>
    <row r="1576" spans="1:17" ht="13">
      <c r="A1576" s="28">
        <v>0</v>
      </c>
      <c r="B1576" s="28" t="s">
        <v>1053</v>
      </c>
      <c r="C1576" s="129" t="s">
        <v>1050</v>
      </c>
      <c r="D1576" s="128">
        <v>0</v>
      </c>
      <c r="E1576" s="128" t="s">
        <v>1050</v>
      </c>
      <c r="F1576" s="29" t="s">
        <v>1050</v>
      </c>
      <c r="G1576" s="56" t="str">
        <f t="shared" ca="1" si="227"/>
        <v/>
      </c>
      <c r="H1576" s="28" t="str">
        <f t="shared" ca="1" si="228"/>
        <v/>
      </c>
      <c r="J1576" s="38" t="str">
        <f t="shared" si="229"/>
        <v xml:space="preserve"> </v>
      </c>
      <c r="K1576" s="39">
        <f t="shared" si="230"/>
        <v>0</v>
      </c>
      <c r="L1576" s="39" t="str">
        <f t="shared" si="231"/>
        <v/>
      </c>
      <c r="M1576" s="40" t="str">
        <f t="shared" si="232"/>
        <v xml:space="preserve"> </v>
      </c>
      <c r="N1576" s="41" t="str">
        <f t="shared" ca="1" si="233"/>
        <v/>
      </c>
      <c r="O1576" s="41" t="str">
        <f t="shared" si="234"/>
        <v xml:space="preserve"> </v>
      </c>
      <c r="P1576" s="60">
        <f t="shared" si="235"/>
        <v>0</v>
      </c>
      <c r="Q1576" s="61"/>
    </row>
    <row r="1577" spans="1:17" ht="13">
      <c r="A1577" s="28">
        <v>0</v>
      </c>
      <c r="B1577" s="28" t="s">
        <v>1053</v>
      </c>
      <c r="C1577" s="129" t="s">
        <v>1050</v>
      </c>
      <c r="D1577" s="128">
        <v>0</v>
      </c>
      <c r="E1577" s="128" t="s">
        <v>1050</v>
      </c>
      <c r="F1577" s="29" t="s">
        <v>1050</v>
      </c>
      <c r="G1577" s="56" t="str">
        <f t="shared" ca="1" si="227"/>
        <v/>
      </c>
      <c r="H1577" s="28" t="str">
        <f t="shared" ca="1" si="228"/>
        <v/>
      </c>
      <c r="J1577" s="38" t="str">
        <f t="shared" si="229"/>
        <v xml:space="preserve"> </v>
      </c>
      <c r="K1577" s="39">
        <f t="shared" si="230"/>
        <v>0</v>
      </c>
      <c r="L1577" s="39" t="str">
        <f t="shared" si="231"/>
        <v/>
      </c>
      <c r="M1577" s="40" t="str">
        <f t="shared" si="232"/>
        <v xml:space="preserve"> </v>
      </c>
      <c r="N1577" s="41" t="str">
        <f t="shared" ca="1" si="233"/>
        <v/>
      </c>
      <c r="O1577" s="41" t="str">
        <f t="shared" si="234"/>
        <v xml:space="preserve"> </v>
      </c>
      <c r="P1577" s="60">
        <f t="shared" si="235"/>
        <v>0</v>
      </c>
      <c r="Q1577" s="61"/>
    </row>
    <row r="1578" spans="1:17" ht="13">
      <c r="A1578" s="28">
        <v>0</v>
      </c>
      <c r="B1578" s="28" t="s">
        <v>1053</v>
      </c>
      <c r="C1578" s="129" t="s">
        <v>1050</v>
      </c>
      <c r="D1578" s="128">
        <v>0</v>
      </c>
      <c r="E1578" s="128" t="s">
        <v>1050</v>
      </c>
      <c r="F1578" s="29" t="s">
        <v>1050</v>
      </c>
      <c r="G1578" s="56" t="str">
        <f t="shared" ca="1" si="227"/>
        <v/>
      </c>
      <c r="H1578" s="28" t="str">
        <f t="shared" ca="1" si="228"/>
        <v/>
      </c>
      <c r="J1578" s="38" t="str">
        <f t="shared" si="229"/>
        <v xml:space="preserve"> </v>
      </c>
      <c r="K1578" s="39">
        <f t="shared" si="230"/>
        <v>0</v>
      </c>
      <c r="L1578" s="39" t="str">
        <f t="shared" si="231"/>
        <v/>
      </c>
      <c r="M1578" s="40" t="str">
        <f t="shared" si="232"/>
        <v xml:space="preserve"> </v>
      </c>
      <c r="N1578" s="41" t="str">
        <f t="shared" ca="1" si="233"/>
        <v/>
      </c>
      <c r="O1578" s="41" t="str">
        <f t="shared" si="234"/>
        <v xml:space="preserve"> </v>
      </c>
      <c r="P1578" s="60">
        <f t="shared" si="235"/>
        <v>0</v>
      </c>
      <c r="Q1578" s="61"/>
    </row>
    <row r="1579" spans="1:17" ht="13">
      <c r="A1579" s="28">
        <v>0</v>
      </c>
      <c r="B1579" s="28" t="s">
        <v>1053</v>
      </c>
      <c r="C1579" s="129" t="s">
        <v>1050</v>
      </c>
      <c r="D1579" s="128">
        <v>0</v>
      </c>
      <c r="E1579" s="128" t="s">
        <v>1050</v>
      </c>
      <c r="F1579" s="29" t="s">
        <v>1050</v>
      </c>
      <c r="G1579" s="56" t="str">
        <f t="shared" ca="1" si="227"/>
        <v/>
      </c>
      <c r="H1579" s="28" t="str">
        <f t="shared" ca="1" si="228"/>
        <v/>
      </c>
      <c r="J1579" s="38" t="str">
        <f t="shared" si="229"/>
        <v xml:space="preserve"> </v>
      </c>
      <c r="K1579" s="39">
        <f t="shared" si="230"/>
        <v>0</v>
      </c>
      <c r="L1579" s="39" t="str">
        <f t="shared" si="231"/>
        <v/>
      </c>
      <c r="M1579" s="40" t="str">
        <f t="shared" si="232"/>
        <v xml:space="preserve"> </v>
      </c>
      <c r="N1579" s="41" t="str">
        <f t="shared" ca="1" si="233"/>
        <v/>
      </c>
      <c r="O1579" s="41" t="str">
        <f t="shared" si="234"/>
        <v xml:space="preserve"> </v>
      </c>
      <c r="P1579" s="60">
        <f t="shared" si="235"/>
        <v>0</v>
      </c>
      <c r="Q1579" s="61"/>
    </row>
    <row r="1580" spans="1:17" ht="13">
      <c r="A1580" s="28">
        <v>0</v>
      </c>
      <c r="B1580" s="28" t="s">
        <v>1053</v>
      </c>
      <c r="C1580" s="129" t="s">
        <v>1050</v>
      </c>
      <c r="D1580" s="128">
        <v>0</v>
      </c>
      <c r="E1580" s="128" t="s">
        <v>1050</v>
      </c>
      <c r="F1580" s="29" t="s">
        <v>1050</v>
      </c>
      <c r="G1580" s="56" t="str">
        <f t="shared" ca="1" si="227"/>
        <v/>
      </c>
      <c r="H1580" s="28" t="str">
        <f t="shared" ca="1" si="228"/>
        <v/>
      </c>
      <c r="J1580" s="38" t="str">
        <f t="shared" si="229"/>
        <v xml:space="preserve"> </v>
      </c>
      <c r="K1580" s="39">
        <f t="shared" si="230"/>
        <v>0</v>
      </c>
      <c r="L1580" s="39" t="str">
        <f t="shared" si="231"/>
        <v/>
      </c>
      <c r="M1580" s="40" t="str">
        <f t="shared" si="232"/>
        <v xml:space="preserve"> </v>
      </c>
      <c r="N1580" s="41" t="str">
        <f t="shared" ca="1" si="233"/>
        <v/>
      </c>
      <c r="O1580" s="41" t="str">
        <f t="shared" si="234"/>
        <v xml:space="preserve"> </v>
      </c>
      <c r="P1580" s="60">
        <f t="shared" si="235"/>
        <v>0</v>
      </c>
      <c r="Q1580" s="61"/>
    </row>
    <row r="1581" spans="1:17" ht="13">
      <c r="A1581" s="28">
        <v>0</v>
      </c>
      <c r="B1581" s="28" t="s">
        <v>1053</v>
      </c>
      <c r="C1581" s="129" t="s">
        <v>1050</v>
      </c>
      <c r="D1581" s="128">
        <v>0</v>
      </c>
      <c r="E1581" s="128" t="s">
        <v>1050</v>
      </c>
      <c r="F1581" s="29" t="s">
        <v>1050</v>
      </c>
      <c r="G1581" s="56" t="str">
        <f t="shared" ca="1" si="227"/>
        <v/>
      </c>
      <c r="H1581" s="28" t="str">
        <f t="shared" ca="1" si="228"/>
        <v/>
      </c>
      <c r="J1581" s="38" t="str">
        <f t="shared" si="229"/>
        <v xml:space="preserve"> </v>
      </c>
      <c r="K1581" s="39">
        <f t="shared" si="230"/>
        <v>0</v>
      </c>
      <c r="L1581" s="39" t="str">
        <f t="shared" si="231"/>
        <v/>
      </c>
      <c r="M1581" s="40" t="str">
        <f t="shared" si="232"/>
        <v xml:space="preserve"> </v>
      </c>
      <c r="N1581" s="41" t="str">
        <f t="shared" ca="1" si="233"/>
        <v/>
      </c>
      <c r="O1581" s="41" t="str">
        <f t="shared" si="234"/>
        <v xml:space="preserve"> </v>
      </c>
      <c r="P1581" s="60">
        <f t="shared" si="235"/>
        <v>0</v>
      </c>
      <c r="Q1581" s="61"/>
    </row>
    <row r="1582" spans="1:17" ht="13">
      <c r="A1582" s="28">
        <v>0</v>
      </c>
      <c r="B1582" s="28" t="s">
        <v>1053</v>
      </c>
      <c r="C1582" s="129" t="s">
        <v>1050</v>
      </c>
      <c r="D1582" s="128">
        <v>0</v>
      </c>
      <c r="E1582" s="128" t="s">
        <v>1050</v>
      </c>
      <c r="F1582" s="29" t="s">
        <v>1050</v>
      </c>
      <c r="G1582" s="56" t="str">
        <f t="shared" ca="1" si="227"/>
        <v/>
      </c>
      <c r="H1582" s="28" t="str">
        <f t="shared" ca="1" si="228"/>
        <v/>
      </c>
      <c r="J1582" s="38" t="str">
        <f t="shared" si="229"/>
        <v xml:space="preserve"> </v>
      </c>
      <c r="K1582" s="39">
        <f t="shared" si="230"/>
        <v>0</v>
      </c>
      <c r="L1582" s="39" t="str">
        <f t="shared" si="231"/>
        <v/>
      </c>
      <c r="M1582" s="40" t="str">
        <f t="shared" si="232"/>
        <v xml:space="preserve"> </v>
      </c>
      <c r="N1582" s="41" t="str">
        <f t="shared" ca="1" si="233"/>
        <v/>
      </c>
      <c r="O1582" s="41" t="str">
        <f t="shared" si="234"/>
        <v xml:space="preserve"> </v>
      </c>
      <c r="P1582" s="60">
        <f t="shared" si="235"/>
        <v>0</v>
      </c>
      <c r="Q1582" s="61"/>
    </row>
    <row r="1583" spans="1:17" ht="13">
      <c r="A1583" s="28">
        <v>0</v>
      </c>
      <c r="B1583" s="28" t="s">
        <v>1053</v>
      </c>
      <c r="C1583" s="129" t="s">
        <v>1050</v>
      </c>
      <c r="D1583" s="128">
        <v>0</v>
      </c>
      <c r="E1583" s="128" t="s">
        <v>1050</v>
      </c>
      <c r="F1583" s="29" t="s">
        <v>1050</v>
      </c>
      <c r="G1583" s="56" t="str">
        <f t="shared" ca="1" si="227"/>
        <v/>
      </c>
      <c r="H1583" s="28" t="str">
        <f t="shared" ca="1" si="228"/>
        <v/>
      </c>
      <c r="J1583" s="38" t="str">
        <f t="shared" si="229"/>
        <v xml:space="preserve"> </v>
      </c>
      <c r="K1583" s="39">
        <f t="shared" si="230"/>
        <v>0</v>
      </c>
      <c r="L1583" s="39" t="str">
        <f t="shared" si="231"/>
        <v/>
      </c>
      <c r="M1583" s="40" t="str">
        <f t="shared" si="232"/>
        <v xml:space="preserve"> </v>
      </c>
      <c r="N1583" s="41" t="str">
        <f t="shared" ca="1" si="233"/>
        <v/>
      </c>
      <c r="O1583" s="41" t="str">
        <f t="shared" si="234"/>
        <v xml:space="preserve"> </v>
      </c>
      <c r="P1583" s="60">
        <f t="shared" si="235"/>
        <v>0</v>
      </c>
      <c r="Q1583" s="61"/>
    </row>
    <row r="1584" spans="1:17" ht="13">
      <c r="A1584" s="28">
        <v>0</v>
      </c>
      <c r="B1584" s="28" t="s">
        <v>1053</v>
      </c>
      <c r="C1584" s="129" t="s">
        <v>1050</v>
      </c>
      <c r="D1584" s="128">
        <v>0</v>
      </c>
      <c r="E1584" s="128" t="s">
        <v>1050</v>
      </c>
      <c r="F1584" s="29" t="s">
        <v>1050</v>
      </c>
      <c r="G1584" s="56" t="str">
        <f t="shared" ca="1" si="227"/>
        <v/>
      </c>
      <c r="H1584" s="28" t="str">
        <f t="shared" ca="1" si="228"/>
        <v/>
      </c>
      <c r="J1584" s="38" t="str">
        <f t="shared" si="229"/>
        <v xml:space="preserve"> </v>
      </c>
      <c r="K1584" s="39">
        <f t="shared" si="230"/>
        <v>0</v>
      </c>
      <c r="L1584" s="39" t="str">
        <f t="shared" si="231"/>
        <v/>
      </c>
      <c r="M1584" s="40" t="str">
        <f t="shared" si="232"/>
        <v xml:space="preserve"> </v>
      </c>
      <c r="N1584" s="41" t="str">
        <f t="shared" ca="1" si="233"/>
        <v/>
      </c>
      <c r="O1584" s="41" t="str">
        <f t="shared" si="234"/>
        <v xml:space="preserve"> </v>
      </c>
      <c r="P1584" s="60">
        <f t="shared" si="235"/>
        <v>0</v>
      </c>
      <c r="Q1584" s="61"/>
    </row>
    <row r="1585" spans="1:17" ht="13">
      <c r="A1585" s="28">
        <v>0</v>
      </c>
      <c r="B1585" s="28" t="s">
        <v>1053</v>
      </c>
      <c r="C1585" s="129" t="s">
        <v>1050</v>
      </c>
      <c r="D1585" s="128">
        <v>0</v>
      </c>
      <c r="E1585" s="128" t="s">
        <v>1050</v>
      </c>
      <c r="F1585" s="29" t="s">
        <v>1050</v>
      </c>
      <c r="G1585" s="56" t="str">
        <f t="shared" ca="1" si="227"/>
        <v/>
      </c>
      <c r="H1585" s="28" t="str">
        <f t="shared" ca="1" si="228"/>
        <v/>
      </c>
      <c r="J1585" s="38" t="str">
        <f t="shared" si="229"/>
        <v xml:space="preserve"> </v>
      </c>
      <c r="K1585" s="39">
        <f t="shared" si="230"/>
        <v>0</v>
      </c>
      <c r="L1585" s="39" t="str">
        <f t="shared" si="231"/>
        <v/>
      </c>
      <c r="M1585" s="40" t="str">
        <f t="shared" si="232"/>
        <v xml:space="preserve"> </v>
      </c>
      <c r="N1585" s="41" t="str">
        <f t="shared" ca="1" si="233"/>
        <v/>
      </c>
      <c r="O1585" s="41" t="str">
        <f t="shared" si="234"/>
        <v xml:space="preserve"> </v>
      </c>
      <c r="P1585" s="60">
        <f t="shared" si="235"/>
        <v>0</v>
      </c>
      <c r="Q1585" s="61"/>
    </row>
    <row r="1586" spans="1:17" ht="13">
      <c r="A1586" s="28">
        <v>0</v>
      </c>
      <c r="B1586" s="28" t="s">
        <v>1053</v>
      </c>
      <c r="C1586" s="129" t="s">
        <v>1050</v>
      </c>
      <c r="D1586" s="128">
        <v>0</v>
      </c>
      <c r="E1586" s="128" t="s">
        <v>1050</v>
      </c>
      <c r="F1586" s="29" t="s">
        <v>1050</v>
      </c>
      <c r="G1586" s="56" t="str">
        <f t="shared" ca="1" si="227"/>
        <v/>
      </c>
      <c r="H1586" s="28" t="str">
        <f t="shared" ca="1" si="228"/>
        <v/>
      </c>
      <c r="J1586" s="38" t="str">
        <f t="shared" si="229"/>
        <v xml:space="preserve"> </v>
      </c>
      <c r="K1586" s="39">
        <f t="shared" si="230"/>
        <v>0</v>
      </c>
      <c r="L1586" s="39" t="str">
        <f t="shared" si="231"/>
        <v/>
      </c>
      <c r="M1586" s="40" t="str">
        <f t="shared" si="232"/>
        <v xml:space="preserve"> </v>
      </c>
      <c r="N1586" s="41" t="str">
        <f t="shared" ca="1" si="233"/>
        <v/>
      </c>
      <c r="O1586" s="41" t="str">
        <f t="shared" si="234"/>
        <v xml:space="preserve"> </v>
      </c>
      <c r="P1586" s="60">
        <f t="shared" si="235"/>
        <v>0</v>
      </c>
      <c r="Q1586" s="61"/>
    </row>
    <row r="1587" spans="1:17" ht="13">
      <c r="A1587" s="28">
        <v>0</v>
      </c>
      <c r="B1587" s="28" t="s">
        <v>1053</v>
      </c>
      <c r="C1587" s="129" t="s">
        <v>1050</v>
      </c>
      <c r="D1587" s="128">
        <v>0</v>
      </c>
      <c r="E1587" s="128" t="s">
        <v>1050</v>
      </c>
      <c r="F1587" s="29" t="s">
        <v>1050</v>
      </c>
      <c r="G1587" s="56" t="str">
        <f t="shared" ca="1" si="227"/>
        <v/>
      </c>
      <c r="H1587" s="28" t="str">
        <f t="shared" ca="1" si="228"/>
        <v/>
      </c>
      <c r="J1587" s="38" t="str">
        <f t="shared" si="229"/>
        <v xml:space="preserve"> </v>
      </c>
      <c r="K1587" s="39">
        <f t="shared" si="230"/>
        <v>0</v>
      </c>
      <c r="L1587" s="39" t="str">
        <f t="shared" si="231"/>
        <v/>
      </c>
      <c r="M1587" s="40" t="str">
        <f t="shared" si="232"/>
        <v xml:space="preserve"> </v>
      </c>
      <c r="N1587" s="41" t="str">
        <f t="shared" ca="1" si="233"/>
        <v/>
      </c>
      <c r="O1587" s="41" t="str">
        <f t="shared" si="234"/>
        <v xml:space="preserve"> </v>
      </c>
      <c r="P1587" s="60">
        <f t="shared" si="235"/>
        <v>0</v>
      </c>
      <c r="Q1587" s="61"/>
    </row>
    <row r="1588" spans="1:17" ht="13">
      <c r="A1588" s="28">
        <v>0</v>
      </c>
      <c r="B1588" s="28" t="s">
        <v>1053</v>
      </c>
      <c r="C1588" s="129" t="s">
        <v>1050</v>
      </c>
      <c r="D1588" s="128">
        <v>0</v>
      </c>
      <c r="E1588" s="128" t="s">
        <v>1050</v>
      </c>
      <c r="F1588" s="29" t="s">
        <v>1050</v>
      </c>
      <c r="G1588" s="56" t="str">
        <f t="shared" ca="1" si="227"/>
        <v/>
      </c>
      <c r="H1588" s="28" t="str">
        <f t="shared" ca="1" si="228"/>
        <v/>
      </c>
      <c r="J1588" s="38" t="str">
        <f t="shared" si="229"/>
        <v xml:space="preserve"> </v>
      </c>
      <c r="K1588" s="39">
        <f t="shared" si="230"/>
        <v>0</v>
      </c>
      <c r="L1588" s="39" t="str">
        <f t="shared" si="231"/>
        <v/>
      </c>
      <c r="M1588" s="40" t="str">
        <f t="shared" si="232"/>
        <v xml:space="preserve"> </v>
      </c>
      <c r="N1588" s="41" t="str">
        <f t="shared" ca="1" si="233"/>
        <v/>
      </c>
      <c r="O1588" s="41" t="str">
        <f t="shared" si="234"/>
        <v xml:space="preserve"> </v>
      </c>
      <c r="P1588" s="60">
        <f t="shared" si="235"/>
        <v>0</v>
      </c>
      <c r="Q1588" s="61"/>
    </row>
    <row r="1589" spans="1:17" ht="13">
      <c r="A1589" s="28">
        <v>0</v>
      </c>
      <c r="B1589" s="28" t="s">
        <v>1053</v>
      </c>
      <c r="C1589" s="129" t="s">
        <v>1050</v>
      </c>
      <c r="D1589" s="128">
        <v>0</v>
      </c>
      <c r="E1589" s="128" t="s">
        <v>1050</v>
      </c>
      <c r="F1589" s="29" t="s">
        <v>1050</v>
      </c>
      <c r="G1589" s="56" t="str">
        <f t="shared" ca="1" si="227"/>
        <v/>
      </c>
      <c r="H1589" s="28" t="str">
        <f t="shared" ca="1" si="228"/>
        <v/>
      </c>
      <c r="J1589" s="38" t="str">
        <f t="shared" si="229"/>
        <v xml:space="preserve"> </v>
      </c>
      <c r="K1589" s="39">
        <f t="shared" si="230"/>
        <v>0</v>
      </c>
      <c r="L1589" s="39" t="str">
        <f t="shared" si="231"/>
        <v/>
      </c>
      <c r="M1589" s="40" t="str">
        <f t="shared" si="232"/>
        <v xml:space="preserve"> </v>
      </c>
      <c r="N1589" s="41" t="str">
        <f t="shared" ca="1" si="233"/>
        <v/>
      </c>
      <c r="O1589" s="41" t="str">
        <f t="shared" si="234"/>
        <v xml:space="preserve"> </v>
      </c>
      <c r="P1589" s="60">
        <f t="shared" si="235"/>
        <v>0</v>
      </c>
      <c r="Q1589" s="61"/>
    </row>
    <row r="1590" spans="1:17" ht="13">
      <c r="A1590" s="28">
        <v>0</v>
      </c>
      <c r="B1590" s="28" t="s">
        <v>1053</v>
      </c>
      <c r="C1590" s="129" t="s">
        <v>1050</v>
      </c>
      <c r="D1590" s="128">
        <v>0</v>
      </c>
      <c r="E1590" s="128" t="s">
        <v>1050</v>
      </c>
      <c r="F1590" s="29" t="s">
        <v>1050</v>
      </c>
      <c r="G1590" s="56" t="str">
        <f t="shared" ca="1" si="227"/>
        <v/>
      </c>
      <c r="H1590" s="28" t="str">
        <f t="shared" ca="1" si="228"/>
        <v/>
      </c>
      <c r="J1590" s="38" t="str">
        <f t="shared" si="229"/>
        <v xml:space="preserve"> </v>
      </c>
      <c r="K1590" s="39">
        <f t="shared" si="230"/>
        <v>0</v>
      </c>
      <c r="L1590" s="39" t="str">
        <f t="shared" si="231"/>
        <v/>
      </c>
      <c r="M1590" s="40" t="str">
        <f t="shared" si="232"/>
        <v xml:space="preserve"> </v>
      </c>
      <c r="N1590" s="41" t="str">
        <f t="shared" ca="1" si="233"/>
        <v/>
      </c>
      <c r="O1590" s="41" t="str">
        <f t="shared" si="234"/>
        <v xml:space="preserve"> </v>
      </c>
      <c r="P1590" s="60">
        <f t="shared" si="235"/>
        <v>0</v>
      </c>
      <c r="Q1590" s="61"/>
    </row>
    <row r="1591" spans="1:17" ht="13">
      <c r="A1591" s="28">
        <v>0</v>
      </c>
      <c r="B1591" s="28" t="s">
        <v>1053</v>
      </c>
      <c r="C1591" s="129" t="s">
        <v>1050</v>
      </c>
      <c r="D1591" s="128">
        <v>0</v>
      </c>
      <c r="E1591" s="128" t="s">
        <v>1050</v>
      </c>
      <c r="F1591" s="29" t="s">
        <v>1050</v>
      </c>
      <c r="G1591" s="56" t="str">
        <f t="shared" ca="1" si="227"/>
        <v/>
      </c>
      <c r="H1591" s="28" t="str">
        <f t="shared" ca="1" si="228"/>
        <v/>
      </c>
      <c r="J1591" s="38" t="str">
        <f t="shared" si="229"/>
        <v xml:space="preserve"> </v>
      </c>
      <c r="K1591" s="39">
        <f t="shared" si="230"/>
        <v>0</v>
      </c>
      <c r="L1591" s="39" t="str">
        <f t="shared" si="231"/>
        <v/>
      </c>
      <c r="M1591" s="40" t="str">
        <f t="shared" si="232"/>
        <v xml:space="preserve"> </v>
      </c>
      <c r="N1591" s="41" t="str">
        <f t="shared" ca="1" si="233"/>
        <v/>
      </c>
      <c r="O1591" s="41" t="str">
        <f t="shared" si="234"/>
        <v xml:space="preserve"> </v>
      </c>
      <c r="P1591" s="60">
        <f t="shared" si="235"/>
        <v>0</v>
      </c>
      <c r="Q1591" s="61"/>
    </row>
    <row r="1592" spans="1:17" ht="13">
      <c r="A1592" s="28">
        <v>0</v>
      </c>
      <c r="B1592" s="28" t="s">
        <v>1053</v>
      </c>
      <c r="C1592" s="129" t="s">
        <v>1050</v>
      </c>
      <c r="D1592" s="128">
        <v>0</v>
      </c>
      <c r="E1592" s="128" t="s">
        <v>1050</v>
      </c>
      <c r="F1592" s="29" t="s">
        <v>1050</v>
      </c>
      <c r="G1592" s="56" t="str">
        <f t="shared" ca="1" si="227"/>
        <v/>
      </c>
      <c r="H1592" s="28" t="str">
        <f t="shared" ca="1" si="228"/>
        <v/>
      </c>
      <c r="J1592" s="38" t="str">
        <f t="shared" si="229"/>
        <v xml:space="preserve"> </v>
      </c>
      <c r="K1592" s="39">
        <f t="shared" si="230"/>
        <v>0</v>
      </c>
      <c r="L1592" s="39" t="str">
        <f t="shared" si="231"/>
        <v/>
      </c>
      <c r="M1592" s="40" t="str">
        <f t="shared" si="232"/>
        <v xml:space="preserve"> </v>
      </c>
      <c r="N1592" s="41" t="str">
        <f t="shared" ca="1" si="233"/>
        <v/>
      </c>
      <c r="O1592" s="41" t="str">
        <f t="shared" si="234"/>
        <v xml:space="preserve"> </v>
      </c>
      <c r="P1592" s="60">
        <f t="shared" si="235"/>
        <v>0</v>
      </c>
      <c r="Q1592" s="61"/>
    </row>
    <row r="1593" spans="1:17" ht="13">
      <c r="A1593" s="28">
        <v>0</v>
      </c>
      <c r="B1593" s="28" t="s">
        <v>1053</v>
      </c>
      <c r="C1593" s="129" t="s">
        <v>1050</v>
      </c>
      <c r="D1593" s="128">
        <v>0</v>
      </c>
      <c r="E1593" s="128" t="s">
        <v>1050</v>
      </c>
      <c r="F1593" s="29" t="s">
        <v>1050</v>
      </c>
      <c r="G1593" s="56" t="str">
        <f t="shared" ca="1" si="227"/>
        <v/>
      </c>
      <c r="H1593" s="28" t="str">
        <f t="shared" ca="1" si="228"/>
        <v/>
      </c>
      <c r="J1593" s="38" t="str">
        <f t="shared" si="229"/>
        <v xml:space="preserve"> </v>
      </c>
      <c r="K1593" s="39">
        <f t="shared" si="230"/>
        <v>0</v>
      </c>
      <c r="L1593" s="39" t="str">
        <f t="shared" si="231"/>
        <v/>
      </c>
      <c r="M1593" s="40" t="str">
        <f t="shared" si="232"/>
        <v xml:space="preserve"> </v>
      </c>
      <c r="N1593" s="41" t="str">
        <f t="shared" ca="1" si="233"/>
        <v/>
      </c>
      <c r="O1593" s="41" t="str">
        <f t="shared" si="234"/>
        <v xml:space="preserve"> </v>
      </c>
      <c r="P1593" s="60">
        <f t="shared" si="235"/>
        <v>0</v>
      </c>
      <c r="Q1593" s="61"/>
    </row>
    <row r="1594" spans="1:17" ht="13">
      <c r="A1594" s="28">
        <v>0</v>
      </c>
      <c r="B1594" s="28" t="s">
        <v>1053</v>
      </c>
      <c r="C1594" s="129" t="s">
        <v>1050</v>
      </c>
      <c r="D1594" s="128">
        <v>0</v>
      </c>
      <c r="E1594" s="128" t="s">
        <v>1050</v>
      </c>
      <c r="F1594" s="29" t="s">
        <v>1050</v>
      </c>
      <c r="G1594" s="56" t="str">
        <f t="shared" ca="1" si="227"/>
        <v/>
      </c>
      <c r="H1594" s="28" t="str">
        <f t="shared" ca="1" si="228"/>
        <v/>
      </c>
      <c r="J1594" s="38" t="str">
        <f t="shared" si="229"/>
        <v xml:space="preserve"> </v>
      </c>
      <c r="K1594" s="39">
        <f t="shared" si="230"/>
        <v>0</v>
      </c>
      <c r="L1594" s="39" t="str">
        <f t="shared" si="231"/>
        <v/>
      </c>
      <c r="M1594" s="40" t="str">
        <f t="shared" si="232"/>
        <v xml:space="preserve"> </v>
      </c>
      <c r="N1594" s="41" t="str">
        <f t="shared" ca="1" si="233"/>
        <v/>
      </c>
      <c r="O1594" s="41" t="str">
        <f t="shared" si="234"/>
        <v xml:space="preserve"> </v>
      </c>
      <c r="P1594" s="60">
        <f t="shared" si="235"/>
        <v>0</v>
      </c>
      <c r="Q1594" s="61"/>
    </row>
    <row r="1595" spans="1:17" ht="13">
      <c r="A1595" s="28">
        <v>0</v>
      </c>
      <c r="B1595" s="28" t="s">
        <v>1053</v>
      </c>
      <c r="C1595" s="129" t="s">
        <v>1050</v>
      </c>
      <c r="D1595" s="128">
        <v>0</v>
      </c>
      <c r="E1595" s="128" t="s">
        <v>1050</v>
      </c>
      <c r="F1595" s="29" t="s">
        <v>1050</v>
      </c>
      <c r="G1595" s="56" t="str">
        <f t="shared" ca="1" si="227"/>
        <v/>
      </c>
      <c r="H1595" s="28" t="str">
        <f t="shared" ca="1" si="228"/>
        <v/>
      </c>
      <c r="J1595" s="38" t="str">
        <f t="shared" si="229"/>
        <v xml:space="preserve"> </v>
      </c>
      <c r="K1595" s="39">
        <f t="shared" si="230"/>
        <v>0</v>
      </c>
      <c r="L1595" s="39" t="str">
        <f t="shared" si="231"/>
        <v/>
      </c>
      <c r="M1595" s="40" t="str">
        <f t="shared" si="232"/>
        <v xml:space="preserve"> </v>
      </c>
      <c r="N1595" s="41" t="str">
        <f t="shared" ca="1" si="233"/>
        <v/>
      </c>
      <c r="O1595" s="41" t="str">
        <f t="shared" si="234"/>
        <v xml:space="preserve"> </v>
      </c>
      <c r="P1595" s="60">
        <f t="shared" si="235"/>
        <v>0</v>
      </c>
      <c r="Q1595" s="61"/>
    </row>
    <row r="1596" spans="1:17" ht="13">
      <c r="A1596" s="28">
        <v>0</v>
      </c>
      <c r="B1596" s="28" t="s">
        <v>1053</v>
      </c>
      <c r="C1596" s="129" t="s">
        <v>1050</v>
      </c>
      <c r="D1596" s="128">
        <v>0</v>
      </c>
      <c r="E1596" s="128" t="s">
        <v>1050</v>
      </c>
      <c r="F1596" s="29" t="s">
        <v>1050</v>
      </c>
      <c r="G1596" s="56" t="str">
        <f t="shared" ca="1" si="227"/>
        <v/>
      </c>
      <c r="H1596" s="28" t="str">
        <f t="shared" ca="1" si="228"/>
        <v/>
      </c>
      <c r="J1596" s="38" t="str">
        <f t="shared" si="229"/>
        <v xml:space="preserve"> </v>
      </c>
      <c r="K1596" s="39">
        <f t="shared" si="230"/>
        <v>0</v>
      </c>
      <c r="L1596" s="39" t="str">
        <f t="shared" si="231"/>
        <v/>
      </c>
      <c r="M1596" s="40" t="str">
        <f t="shared" si="232"/>
        <v xml:space="preserve"> </v>
      </c>
      <c r="N1596" s="41" t="str">
        <f t="shared" ca="1" si="233"/>
        <v/>
      </c>
      <c r="O1596" s="41" t="str">
        <f t="shared" si="234"/>
        <v xml:space="preserve"> </v>
      </c>
      <c r="P1596" s="60">
        <f t="shared" si="235"/>
        <v>0</v>
      </c>
      <c r="Q1596" s="61"/>
    </row>
    <row r="1597" spans="1:17" ht="13">
      <c r="A1597" s="28">
        <v>0</v>
      </c>
      <c r="B1597" s="28" t="s">
        <v>1053</v>
      </c>
      <c r="C1597" s="129" t="s">
        <v>1050</v>
      </c>
      <c r="D1597" s="128">
        <v>0</v>
      </c>
      <c r="E1597" s="128" t="s">
        <v>1050</v>
      </c>
      <c r="F1597" s="29" t="s">
        <v>1050</v>
      </c>
      <c r="G1597" s="56" t="str">
        <f t="shared" ca="1" si="227"/>
        <v/>
      </c>
      <c r="H1597" s="28" t="str">
        <f t="shared" ca="1" si="228"/>
        <v/>
      </c>
      <c r="J1597" s="38" t="str">
        <f t="shared" si="229"/>
        <v xml:space="preserve"> </v>
      </c>
      <c r="K1597" s="39">
        <f t="shared" si="230"/>
        <v>0</v>
      </c>
      <c r="L1597" s="39" t="str">
        <f t="shared" si="231"/>
        <v/>
      </c>
      <c r="M1597" s="40" t="str">
        <f t="shared" si="232"/>
        <v xml:space="preserve"> </v>
      </c>
      <c r="N1597" s="41" t="str">
        <f t="shared" ca="1" si="233"/>
        <v/>
      </c>
      <c r="O1597" s="41" t="str">
        <f t="shared" si="234"/>
        <v xml:space="preserve"> </v>
      </c>
      <c r="P1597" s="60">
        <f t="shared" si="235"/>
        <v>0</v>
      </c>
      <c r="Q1597" s="61"/>
    </row>
    <row r="1598" spans="1:17" ht="13">
      <c r="A1598" s="28">
        <v>0</v>
      </c>
      <c r="B1598" s="28" t="s">
        <v>1053</v>
      </c>
      <c r="C1598" s="129" t="s">
        <v>1050</v>
      </c>
      <c r="D1598" s="128">
        <v>0</v>
      </c>
      <c r="E1598" s="128" t="s">
        <v>1050</v>
      </c>
      <c r="F1598" s="29" t="s">
        <v>1050</v>
      </c>
      <c r="G1598" s="56" t="str">
        <f t="shared" ca="1" si="227"/>
        <v/>
      </c>
      <c r="H1598" s="28" t="str">
        <f t="shared" ca="1" si="228"/>
        <v/>
      </c>
      <c r="J1598" s="38" t="str">
        <f t="shared" si="229"/>
        <v xml:space="preserve"> </v>
      </c>
      <c r="K1598" s="39">
        <f t="shared" si="230"/>
        <v>0</v>
      </c>
      <c r="L1598" s="39" t="str">
        <f t="shared" si="231"/>
        <v/>
      </c>
      <c r="M1598" s="40" t="str">
        <f t="shared" si="232"/>
        <v xml:space="preserve"> </v>
      </c>
      <c r="N1598" s="41" t="str">
        <f t="shared" ca="1" si="233"/>
        <v/>
      </c>
      <c r="O1598" s="41" t="str">
        <f t="shared" si="234"/>
        <v xml:space="preserve"> </v>
      </c>
      <c r="P1598" s="60">
        <f t="shared" si="235"/>
        <v>0</v>
      </c>
      <c r="Q1598" s="61"/>
    </row>
    <row r="1599" spans="1:17" ht="13">
      <c r="A1599" s="28">
        <v>0</v>
      </c>
      <c r="B1599" s="28" t="s">
        <v>1053</v>
      </c>
      <c r="C1599" s="129" t="s">
        <v>1050</v>
      </c>
      <c r="D1599" s="128">
        <v>0</v>
      </c>
      <c r="E1599" s="128" t="s">
        <v>1050</v>
      </c>
      <c r="F1599" s="29" t="s">
        <v>1050</v>
      </c>
      <c r="G1599" s="56" t="str">
        <f t="shared" ca="1" si="227"/>
        <v/>
      </c>
      <c r="H1599" s="28" t="str">
        <f t="shared" ca="1" si="228"/>
        <v/>
      </c>
      <c r="J1599" s="38" t="str">
        <f t="shared" si="229"/>
        <v xml:space="preserve"> </v>
      </c>
      <c r="K1599" s="39">
        <f t="shared" si="230"/>
        <v>0</v>
      </c>
      <c r="L1599" s="39" t="str">
        <f t="shared" si="231"/>
        <v/>
      </c>
      <c r="M1599" s="40" t="str">
        <f t="shared" si="232"/>
        <v xml:space="preserve"> </v>
      </c>
      <c r="N1599" s="41" t="str">
        <f t="shared" ca="1" si="233"/>
        <v/>
      </c>
      <c r="O1599" s="41" t="str">
        <f t="shared" si="234"/>
        <v xml:space="preserve"> </v>
      </c>
      <c r="P1599" s="60">
        <f t="shared" si="235"/>
        <v>0</v>
      </c>
      <c r="Q1599" s="61"/>
    </row>
    <row r="1600" spans="1:17" ht="13">
      <c r="A1600" s="28">
        <v>0</v>
      </c>
      <c r="B1600" s="28" t="s">
        <v>1053</v>
      </c>
      <c r="C1600" s="129" t="s">
        <v>1050</v>
      </c>
      <c r="D1600" s="128">
        <v>0</v>
      </c>
      <c r="E1600" s="128" t="s">
        <v>1050</v>
      </c>
      <c r="F1600" s="29" t="s">
        <v>1050</v>
      </c>
      <c r="G1600" s="56" t="str">
        <f t="shared" ca="1" si="227"/>
        <v/>
      </c>
      <c r="H1600" s="28" t="str">
        <f t="shared" ca="1" si="228"/>
        <v/>
      </c>
      <c r="J1600" s="38" t="str">
        <f t="shared" si="229"/>
        <v xml:space="preserve"> </v>
      </c>
      <c r="K1600" s="39">
        <f t="shared" si="230"/>
        <v>0</v>
      </c>
      <c r="L1600" s="39" t="str">
        <f t="shared" si="231"/>
        <v/>
      </c>
      <c r="M1600" s="40" t="str">
        <f t="shared" si="232"/>
        <v xml:space="preserve"> </v>
      </c>
      <c r="N1600" s="41" t="str">
        <f t="shared" ca="1" si="233"/>
        <v/>
      </c>
      <c r="O1600" s="41" t="str">
        <f t="shared" si="234"/>
        <v xml:space="preserve"> </v>
      </c>
      <c r="P1600" s="60">
        <f t="shared" si="235"/>
        <v>0</v>
      </c>
      <c r="Q1600" s="61"/>
    </row>
    <row r="1601" spans="1:17" ht="13">
      <c r="A1601" s="28">
        <v>0</v>
      </c>
      <c r="B1601" s="28" t="s">
        <v>1053</v>
      </c>
      <c r="C1601" s="129" t="s">
        <v>1050</v>
      </c>
      <c r="D1601" s="128">
        <v>0</v>
      </c>
      <c r="E1601" s="128" t="s">
        <v>1050</v>
      </c>
      <c r="F1601" s="29" t="s">
        <v>1050</v>
      </c>
      <c r="G1601" s="56" t="str">
        <f t="shared" ca="1" si="227"/>
        <v/>
      </c>
      <c r="H1601" s="28" t="str">
        <f t="shared" ref="H1601:H1603" ca="1" si="236">IFERROR(IF($A1601&gt;0,ROUNDDOWN(INT(TODAY()-F1601)/365.25,0),""),"")</f>
        <v/>
      </c>
      <c r="J1601" s="38" t="str">
        <f t="shared" ref="J1601:J1603" si="237">C1601</f>
        <v xml:space="preserve"> </v>
      </c>
      <c r="K1601" s="39">
        <f t="shared" ref="K1601:K1603" si="238">A1601</f>
        <v>0</v>
      </c>
      <c r="L1601" s="39" t="str">
        <f t="shared" ref="L1601:L1603" si="239">B1601</f>
        <v/>
      </c>
      <c r="M1601" s="40" t="str">
        <f t="shared" ref="M1601:M1603" si="240">F1601</f>
        <v xml:space="preserve"> </v>
      </c>
      <c r="N1601" s="41" t="str">
        <f t="shared" ref="N1601:N1603" ca="1" si="241">G1601</f>
        <v/>
      </c>
      <c r="O1601" s="41" t="str">
        <f t="shared" ref="O1601:O1603" si="242">E1601</f>
        <v xml:space="preserve"> </v>
      </c>
      <c r="P1601" s="60">
        <f t="shared" ref="P1601:P1603" si="243">D1601</f>
        <v>0</v>
      </c>
      <c r="Q1601" s="61"/>
    </row>
    <row r="1602" spans="1:17" ht="13">
      <c r="A1602" s="28">
        <v>0</v>
      </c>
      <c r="B1602" s="28" t="s">
        <v>1053</v>
      </c>
      <c r="C1602" s="129" t="s">
        <v>1050</v>
      </c>
      <c r="D1602" s="128">
        <v>0</v>
      </c>
      <c r="E1602" s="128" t="s">
        <v>1050</v>
      </c>
      <c r="F1602" s="29" t="s">
        <v>1050</v>
      </c>
      <c r="G1602" s="56" t="str">
        <f t="shared" ca="1" si="227"/>
        <v/>
      </c>
      <c r="H1602" s="28" t="str">
        <f t="shared" ca="1" si="236"/>
        <v/>
      </c>
      <c r="J1602" s="38" t="str">
        <f t="shared" si="237"/>
        <v xml:space="preserve"> </v>
      </c>
      <c r="K1602" s="39">
        <f t="shared" si="238"/>
        <v>0</v>
      </c>
      <c r="L1602" s="39" t="str">
        <f t="shared" si="239"/>
        <v/>
      </c>
      <c r="M1602" s="40" t="str">
        <f t="shared" si="240"/>
        <v xml:space="preserve"> </v>
      </c>
      <c r="N1602" s="41" t="str">
        <f t="shared" ca="1" si="241"/>
        <v/>
      </c>
      <c r="O1602" s="41" t="str">
        <f t="shared" si="242"/>
        <v xml:space="preserve"> </v>
      </c>
      <c r="P1602" s="60">
        <f t="shared" si="243"/>
        <v>0</v>
      </c>
      <c r="Q1602" s="61"/>
    </row>
    <row r="1603" spans="1:17" ht="13">
      <c r="A1603" s="28">
        <v>0</v>
      </c>
      <c r="B1603" s="28" t="s">
        <v>1053</v>
      </c>
      <c r="C1603" s="129" t="s">
        <v>1050</v>
      </c>
      <c r="D1603" s="128">
        <v>0</v>
      </c>
      <c r="E1603" s="128" t="s">
        <v>1050</v>
      </c>
      <c r="F1603" s="29" t="s">
        <v>1050</v>
      </c>
      <c r="G1603" s="56" t="str">
        <f t="shared" ref="G1603:G1666" ca="1" si="244">IFERROR(IF(YEAR(TODAY())-YEAR(F1603)&lt;7," ",IF(YEAR(TODAY())-YEAR(F1603)&lt;10,"Benjamim A",IF(YEAR(TODAY())-YEAR(F1603)&lt;12,"Benjamim B",IF(YEAR(TODAY())-YEAR(F1603)&lt;14,"Infantil",IF(YEAR(TODAY())-YEAR(F1603)&lt;16,"Iniciado",IF(YEAR(TODAY())-YEAR(F1603)&lt;18,"Juvenil",IF(YEAR(TODAY())-YEAR(F1603)&lt;20,"Júnior",IF(YEAR(TODAY())-YEAR(F1603)&lt;23,"sub 23",IF(ROUNDDOWN(INT(TODAY()-F1603)/365.25,0)&lt;35,"Sénior",IF(ROUNDDOWN(INT(TODAY()-F1603)/365.25,0)&lt;40,"V 35",IF(ROUNDDOWN(INT(TODAY()-F1603)/365.25,0)&lt;45,"V 40",IF(ROUNDDOWN(INT(TODAY()-F1603)/365.25,0)&lt;50,"V 45",IF(ROUNDDOWN(INT(TODAY()-F1603)/365.25,0)&lt;55,"V 50",IF(ROUNDDOWN(INT(TODAY()-F1603)/365.25,0)&lt;60,"V 55",IF(ROUNDDOWN(INT(TODAY()-F1603)/365.25,0)&lt;65,"V 60",IF(ROUNDDOWN(INT(TODAY()-F1603)/365.25,0)&lt;70,"V 65",IF(ROUNDDOWN(INT(TODAY()-F1603)/365.25,0)&lt;75,"V 70",IF(ROUNDDOWN(INT(TODAY()-F1603)/365.25,0)&lt;80,"V 75",IF(ROUNDDOWN(INT(TODAY()-F1603)/365.25,0)&lt;85,"V 80",IF(ROUNDDOWN(INT(TODAY()-F1603)/365.25,0)&lt;90,"V 85",IF(ROUNDDOWN(INT(TODAY()-F1603)/365.25,0)&lt;95,"V 90",IF(ROUNDDOWN(INT(TODAY()-F1603)/365.25,0)&lt;100,"V 95",IF(ROUNDDOWN(INT(TODAY()-F1603)/365.25,0)&gt;=100,"V 100",""))))))))))))))))))))))),"")</f>
        <v/>
      </c>
      <c r="H1603" s="28" t="str">
        <f t="shared" ca="1" si="236"/>
        <v/>
      </c>
      <c r="J1603" s="38" t="str">
        <f t="shared" si="237"/>
        <v xml:space="preserve"> </v>
      </c>
      <c r="K1603" s="39">
        <f t="shared" si="238"/>
        <v>0</v>
      </c>
      <c r="L1603" s="39" t="str">
        <f t="shared" si="239"/>
        <v/>
      </c>
      <c r="M1603" s="40" t="str">
        <f t="shared" si="240"/>
        <v xml:space="preserve"> </v>
      </c>
      <c r="N1603" s="41" t="str">
        <f t="shared" ca="1" si="241"/>
        <v/>
      </c>
      <c r="O1603" s="41" t="str">
        <f t="shared" si="242"/>
        <v xml:space="preserve"> </v>
      </c>
      <c r="P1603" s="60">
        <f t="shared" si="243"/>
        <v>0</v>
      </c>
      <c r="Q1603" s="61"/>
    </row>
    <row r="1604" spans="1:17" ht="13">
      <c r="A1604" s="28">
        <v>0</v>
      </c>
      <c r="B1604" s="28" t="s">
        <v>1053</v>
      </c>
      <c r="C1604" s="129" t="s">
        <v>1050</v>
      </c>
      <c r="D1604" s="128">
        <v>0</v>
      </c>
      <c r="E1604" s="128" t="s">
        <v>1050</v>
      </c>
      <c r="F1604" s="29" t="s">
        <v>1050</v>
      </c>
      <c r="G1604" s="56" t="str">
        <f t="shared" ca="1" si="244"/>
        <v/>
      </c>
      <c r="H1604" s="28" t="str">
        <f t="shared" ref="H1604:H1614" ca="1" si="245">IFERROR(IF($A1604&gt;0,ROUNDDOWN(INT(TODAY()-F1604)/365.25,0),""),"")</f>
        <v/>
      </c>
      <c r="J1604" s="38" t="str">
        <f t="shared" ref="J1604:J1614" si="246">C1604</f>
        <v xml:space="preserve"> </v>
      </c>
      <c r="K1604" s="39">
        <f t="shared" ref="K1604:K1614" si="247">A1604</f>
        <v>0</v>
      </c>
      <c r="L1604" s="39" t="str">
        <f t="shared" ref="L1604:L1614" si="248">B1604</f>
        <v/>
      </c>
      <c r="M1604" s="40" t="str">
        <f t="shared" ref="M1604:M1614" si="249">F1604</f>
        <v xml:space="preserve"> </v>
      </c>
      <c r="N1604" s="41" t="str">
        <f t="shared" ref="N1604:N1614" ca="1" si="250">G1604</f>
        <v/>
      </c>
      <c r="O1604" s="41" t="str">
        <f t="shared" ref="O1604:O1614" si="251">E1604</f>
        <v xml:space="preserve"> </v>
      </c>
      <c r="P1604" s="60">
        <f t="shared" ref="P1604:P1614" si="252">D1604</f>
        <v>0</v>
      </c>
      <c r="Q1604" s="61"/>
    </row>
    <row r="1605" spans="1:17" ht="13">
      <c r="A1605" s="28">
        <v>0</v>
      </c>
      <c r="B1605" s="28" t="s">
        <v>1053</v>
      </c>
      <c r="C1605" s="129" t="s">
        <v>1050</v>
      </c>
      <c r="D1605" s="128">
        <v>0</v>
      </c>
      <c r="E1605" s="128" t="s">
        <v>1050</v>
      </c>
      <c r="F1605" s="29" t="s">
        <v>1050</v>
      </c>
      <c r="G1605" s="56" t="str">
        <f t="shared" ca="1" si="244"/>
        <v/>
      </c>
      <c r="H1605" s="28" t="str">
        <f t="shared" ca="1" si="245"/>
        <v/>
      </c>
      <c r="J1605" s="38" t="str">
        <f t="shared" si="246"/>
        <v xml:space="preserve"> </v>
      </c>
      <c r="K1605" s="39">
        <f t="shared" si="247"/>
        <v>0</v>
      </c>
      <c r="L1605" s="39" t="str">
        <f t="shared" si="248"/>
        <v/>
      </c>
      <c r="M1605" s="40" t="str">
        <f t="shared" si="249"/>
        <v xml:space="preserve"> </v>
      </c>
      <c r="N1605" s="41" t="str">
        <f t="shared" ca="1" si="250"/>
        <v/>
      </c>
      <c r="O1605" s="41" t="str">
        <f t="shared" si="251"/>
        <v xml:space="preserve"> </v>
      </c>
      <c r="P1605" s="60">
        <f t="shared" si="252"/>
        <v>0</v>
      </c>
      <c r="Q1605" s="61"/>
    </row>
    <row r="1606" spans="1:17" ht="13">
      <c r="A1606" s="28">
        <v>0</v>
      </c>
      <c r="B1606" s="28" t="s">
        <v>1053</v>
      </c>
      <c r="C1606" s="129" t="s">
        <v>1050</v>
      </c>
      <c r="D1606" s="128">
        <v>0</v>
      </c>
      <c r="E1606" s="128" t="s">
        <v>1050</v>
      </c>
      <c r="F1606" s="29" t="s">
        <v>1050</v>
      </c>
      <c r="G1606" s="56" t="str">
        <f t="shared" ca="1" si="244"/>
        <v/>
      </c>
      <c r="H1606" s="28" t="str">
        <f t="shared" ca="1" si="245"/>
        <v/>
      </c>
      <c r="J1606" s="38" t="str">
        <f t="shared" si="246"/>
        <v xml:space="preserve"> </v>
      </c>
      <c r="K1606" s="39">
        <f t="shared" si="247"/>
        <v>0</v>
      </c>
      <c r="L1606" s="39" t="str">
        <f t="shared" si="248"/>
        <v/>
      </c>
      <c r="M1606" s="40" t="str">
        <f t="shared" si="249"/>
        <v xml:space="preserve"> </v>
      </c>
      <c r="N1606" s="41" t="str">
        <f t="shared" ca="1" si="250"/>
        <v/>
      </c>
      <c r="O1606" s="41" t="str">
        <f t="shared" si="251"/>
        <v xml:space="preserve"> </v>
      </c>
      <c r="P1606" s="60">
        <f t="shared" si="252"/>
        <v>0</v>
      </c>
      <c r="Q1606" s="61"/>
    </row>
    <row r="1607" spans="1:17" ht="13">
      <c r="A1607" s="28">
        <v>0</v>
      </c>
      <c r="B1607" s="28" t="s">
        <v>1053</v>
      </c>
      <c r="C1607" s="129" t="s">
        <v>1050</v>
      </c>
      <c r="D1607" s="128">
        <v>0</v>
      </c>
      <c r="E1607" s="128" t="s">
        <v>1050</v>
      </c>
      <c r="F1607" s="29" t="s">
        <v>1050</v>
      </c>
      <c r="G1607" s="56" t="str">
        <f t="shared" ca="1" si="244"/>
        <v/>
      </c>
      <c r="H1607" s="28" t="str">
        <f t="shared" ca="1" si="245"/>
        <v/>
      </c>
      <c r="J1607" s="38" t="str">
        <f t="shared" si="246"/>
        <v xml:space="preserve"> </v>
      </c>
      <c r="K1607" s="39">
        <f t="shared" si="247"/>
        <v>0</v>
      </c>
      <c r="L1607" s="39" t="str">
        <f t="shared" si="248"/>
        <v/>
      </c>
      <c r="M1607" s="40" t="str">
        <f t="shared" si="249"/>
        <v xml:space="preserve"> </v>
      </c>
      <c r="N1607" s="41" t="str">
        <f t="shared" ca="1" si="250"/>
        <v/>
      </c>
      <c r="O1607" s="41" t="str">
        <f t="shared" si="251"/>
        <v xml:space="preserve"> </v>
      </c>
      <c r="P1607" s="60">
        <f t="shared" si="252"/>
        <v>0</v>
      </c>
      <c r="Q1607" s="61"/>
    </row>
    <row r="1608" spans="1:17" ht="13">
      <c r="A1608" s="28">
        <v>0</v>
      </c>
      <c r="B1608" s="28" t="s">
        <v>1053</v>
      </c>
      <c r="C1608" s="129" t="s">
        <v>1050</v>
      </c>
      <c r="D1608" s="128">
        <v>0</v>
      </c>
      <c r="E1608" s="128" t="s">
        <v>1050</v>
      </c>
      <c r="F1608" s="29" t="s">
        <v>1050</v>
      </c>
      <c r="G1608" s="56" t="str">
        <f t="shared" ca="1" si="244"/>
        <v/>
      </c>
      <c r="H1608" s="28" t="str">
        <f t="shared" ca="1" si="245"/>
        <v/>
      </c>
      <c r="J1608" s="38" t="str">
        <f t="shared" si="246"/>
        <v xml:space="preserve"> </v>
      </c>
      <c r="K1608" s="39">
        <f t="shared" si="247"/>
        <v>0</v>
      </c>
      <c r="L1608" s="39" t="str">
        <f t="shared" si="248"/>
        <v/>
      </c>
      <c r="M1608" s="40" t="str">
        <f t="shared" si="249"/>
        <v xml:space="preserve"> </v>
      </c>
      <c r="N1608" s="41" t="str">
        <f t="shared" ca="1" si="250"/>
        <v/>
      </c>
      <c r="O1608" s="41" t="str">
        <f t="shared" si="251"/>
        <v xml:space="preserve"> </v>
      </c>
      <c r="P1608" s="60">
        <f t="shared" si="252"/>
        <v>0</v>
      </c>
      <c r="Q1608" s="61"/>
    </row>
    <row r="1609" spans="1:17" ht="13">
      <c r="A1609" s="28">
        <v>0</v>
      </c>
      <c r="B1609" s="28" t="s">
        <v>1053</v>
      </c>
      <c r="C1609" s="129" t="s">
        <v>1050</v>
      </c>
      <c r="D1609" s="128">
        <v>0</v>
      </c>
      <c r="E1609" s="128" t="s">
        <v>1050</v>
      </c>
      <c r="F1609" s="29" t="s">
        <v>1050</v>
      </c>
      <c r="G1609" s="56" t="str">
        <f t="shared" ca="1" si="244"/>
        <v/>
      </c>
      <c r="H1609" s="28" t="str">
        <f t="shared" ca="1" si="245"/>
        <v/>
      </c>
      <c r="J1609" s="38" t="str">
        <f t="shared" si="246"/>
        <v xml:space="preserve"> </v>
      </c>
      <c r="K1609" s="39">
        <f t="shared" si="247"/>
        <v>0</v>
      </c>
      <c r="L1609" s="39" t="str">
        <f t="shared" si="248"/>
        <v/>
      </c>
      <c r="M1609" s="40" t="str">
        <f t="shared" si="249"/>
        <v xml:space="preserve"> </v>
      </c>
      <c r="N1609" s="41" t="str">
        <f t="shared" ca="1" si="250"/>
        <v/>
      </c>
      <c r="O1609" s="41" t="str">
        <f t="shared" si="251"/>
        <v xml:space="preserve"> </v>
      </c>
      <c r="P1609" s="60">
        <f t="shared" si="252"/>
        <v>0</v>
      </c>
      <c r="Q1609" s="61"/>
    </row>
    <row r="1610" spans="1:17" ht="13">
      <c r="A1610" s="28">
        <v>0</v>
      </c>
      <c r="B1610" s="28" t="s">
        <v>1053</v>
      </c>
      <c r="C1610" s="129" t="s">
        <v>1050</v>
      </c>
      <c r="D1610" s="128">
        <v>0</v>
      </c>
      <c r="E1610" s="128" t="s">
        <v>1050</v>
      </c>
      <c r="F1610" s="29" t="s">
        <v>1050</v>
      </c>
      <c r="G1610" s="56" t="str">
        <f t="shared" ca="1" si="244"/>
        <v/>
      </c>
      <c r="H1610" s="28" t="str">
        <f t="shared" ca="1" si="245"/>
        <v/>
      </c>
      <c r="J1610" s="38" t="str">
        <f t="shared" si="246"/>
        <v xml:space="preserve"> </v>
      </c>
      <c r="K1610" s="39">
        <f t="shared" si="247"/>
        <v>0</v>
      </c>
      <c r="L1610" s="39" t="str">
        <f t="shared" si="248"/>
        <v/>
      </c>
      <c r="M1610" s="40" t="str">
        <f t="shared" si="249"/>
        <v xml:space="preserve"> </v>
      </c>
      <c r="N1610" s="41" t="str">
        <f t="shared" ca="1" si="250"/>
        <v/>
      </c>
      <c r="O1610" s="41" t="str">
        <f t="shared" si="251"/>
        <v xml:space="preserve"> </v>
      </c>
      <c r="P1610" s="60">
        <f t="shared" si="252"/>
        <v>0</v>
      </c>
      <c r="Q1610" s="61"/>
    </row>
    <row r="1611" spans="1:17" ht="13">
      <c r="A1611" s="28">
        <v>0</v>
      </c>
      <c r="B1611" s="28" t="s">
        <v>1053</v>
      </c>
      <c r="C1611" s="129" t="s">
        <v>1050</v>
      </c>
      <c r="D1611" s="128">
        <v>0</v>
      </c>
      <c r="E1611" s="128" t="s">
        <v>1050</v>
      </c>
      <c r="F1611" s="29" t="s">
        <v>1050</v>
      </c>
      <c r="G1611" s="56" t="str">
        <f t="shared" ca="1" si="244"/>
        <v/>
      </c>
      <c r="H1611" s="28" t="str">
        <f t="shared" ca="1" si="245"/>
        <v/>
      </c>
      <c r="J1611" s="38" t="str">
        <f t="shared" si="246"/>
        <v xml:space="preserve"> </v>
      </c>
      <c r="K1611" s="39">
        <f t="shared" si="247"/>
        <v>0</v>
      </c>
      <c r="L1611" s="39" t="str">
        <f t="shared" si="248"/>
        <v/>
      </c>
      <c r="M1611" s="40" t="str">
        <f t="shared" si="249"/>
        <v xml:space="preserve"> </v>
      </c>
      <c r="N1611" s="41" t="str">
        <f t="shared" ca="1" si="250"/>
        <v/>
      </c>
      <c r="O1611" s="41" t="str">
        <f t="shared" si="251"/>
        <v xml:space="preserve"> </v>
      </c>
      <c r="P1611" s="60">
        <f t="shared" si="252"/>
        <v>0</v>
      </c>
      <c r="Q1611" s="61"/>
    </row>
    <row r="1612" spans="1:17" ht="13">
      <c r="A1612" s="28">
        <v>0</v>
      </c>
      <c r="B1612" s="28" t="s">
        <v>1053</v>
      </c>
      <c r="C1612" s="129" t="s">
        <v>1050</v>
      </c>
      <c r="D1612" s="128">
        <v>0</v>
      </c>
      <c r="E1612" s="128" t="s">
        <v>1050</v>
      </c>
      <c r="F1612" s="29" t="s">
        <v>1050</v>
      </c>
      <c r="G1612" s="56" t="str">
        <f t="shared" ca="1" si="244"/>
        <v/>
      </c>
      <c r="H1612" s="28" t="str">
        <f t="shared" ca="1" si="245"/>
        <v/>
      </c>
      <c r="J1612" s="38" t="str">
        <f t="shared" si="246"/>
        <v xml:space="preserve"> </v>
      </c>
      <c r="K1612" s="39">
        <f t="shared" si="247"/>
        <v>0</v>
      </c>
      <c r="L1612" s="39" t="str">
        <f t="shared" si="248"/>
        <v/>
      </c>
      <c r="M1612" s="40" t="str">
        <f t="shared" si="249"/>
        <v xml:space="preserve"> </v>
      </c>
      <c r="N1612" s="41" t="str">
        <f t="shared" ca="1" si="250"/>
        <v/>
      </c>
      <c r="O1612" s="41" t="str">
        <f t="shared" si="251"/>
        <v xml:space="preserve"> </v>
      </c>
      <c r="P1612" s="60">
        <f t="shared" si="252"/>
        <v>0</v>
      </c>
      <c r="Q1612" s="61"/>
    </row>
    <row r="1613" spans="1:17" ht="13">
      <c r="A1613" s="28">
        <v>0</v>
      </c>
      <c r="B1613" s="28" t="s">
        <v>1053</v>
      </c>
      <c r="C1613" s="129" t="s">
        <v>1050</v>
      </c>
      <c r="D1613" s="128">
        <v>0</v>
      </c>
      <c r="E1613" s="128" t="s">
        <v>1050</v>
      </c>
      <c r="F1613" s="29" t="s">
        <v>1050</v>
      </c>
      <c r="G1613" s="56" t="str">
        <f t="shared" ca="1" si="244"/>
        <v/>
      </c>
      <c r="H1613" s="28" t="str">
        <f t="shared" ca="1" si="245"/>
        <v/>
      </c>
      <c r="J1613" s="38" t="str">
        <f t="shared" si="246"/>
        <v xml:space="preserve"> </v>
      </c>
      <c r="K1613" s="39">
        <f t="shared" si="247"/>
        <v>0</v>
      </c>
      <c r="L1613" s="39" t="str">
        <f t="shared" si="248"/>
        <v/>
      </c>
      <c r="M1613" s="40" t="str">
        <f t="shared" si="249"/>
        <v xml:space="preserve"> </v>
      </c>
      <c r="N1613" s="41" t="str">
        <f t="shared" ca="1" si="250"/>
        <v/>
      </c>
      <c r="O1613" s="41" t="str">
        <f t="shared" si="251"/>
        <v xml:space="preserve"> </v>
      </c>
      <c r="P1613" s="60">
        <f t="shared" si="252"/>
        <v>0</v>
      </c>
      <c r="Q1613" s="61"/>
    </row>
    <row r="1614" spans="1:17" ht="13">
      <c r="A1614" s="28">
        <v>0</v>
      </c>
      <c r="B1614" s="28" t="s">
        <v>1053</v>
      </c>
      <c r="C1614" s="129" t="s">
        <v>1050</v>
      </c>
      <c r="D1614" s="128">
        <v>0</v>
      </c>
      <c r="E1614" s="128" t="s">
        <v>1050</v>
      </c>
      <c r="F1614" s="29" t="s">
        <v>1050</v>
      </c>
      <c r="G1614" s="56" t="str">
        <f t="shared" ca="1" si="244"/>
        <v/>
      </c>
      <c r="H1614" s="28" t="str">
        <f t="shared" ca="1" si="245"/>
        <v/>
      </c>
      <c r="J1614" s="38" t="str">
        <f t="shared" si="246"/>
        <v xml:space="preserve"> </v>
      </c>
      <c r="K1614" s="39">
        <f t="shared" si="247"/>
        <v>0</v>
      </c>
      <c r="L1614" s="39" t="str">
        <f t="shared" si="248"/>
        <v/>
      </c>
      <c r="M1614" s="40" t="str">
        <f t="shared" si="249"/>
        <v xml:space="preserve"> </v>
      </c>
      <c r="N1614" s="41" t="str">
        <f t="shared" ca="1" si="250"/>
        <v/>
      </c>
      <c r="O1614" s="41" t="str">
        <f t="shared" si="251"/>
        <v xml:space="preserve"> </v>
      </c>
      <c r="P1614" s="60">
        <f t="shared" si="252"/>
        <v>0</v>
      </c>
      <c r="Q1614" s="61"/>
    </row>
    <row r="1615" spans="1:17" ht="13">
      <c r="A1615" s="28">
        <v>0</v>
      </c>
      <c r="B1615" s="28" t="s">
        <v>1053</v>
      </c>
      <c r="C1615" s="129" t="s">
        <v>1050</v>
      </c>
      <c r="D1615" s="128">
        <v>0</v>
      </c>
      <c r="E1615" s="128" t="s">
        <v>1050</v>
      </c>
      <c r="F1615" s="29" t="s">
        <v>1050</v>
      </c>
      <c r="G1615" s="56" t="str">
        <f t="shared" ca="1" si="244"/>
        <v/>
      </c>
      <c r="H1615" s="28" t="str">
        <f t="shared" ref="H1615:H1630" ca="1" si="253">IFERROR(IF($A1615&gt;0,ROUNDDOWN(INT(TODAY()-F1615)/365.25,0),""),"")</f>
        <v/>
      </c>
      <c r="J1615" s="38" t="str">
        <f t="shared" ref="J1615:J1630" si="254">C1615</f>
        <v xml:space="preserve"> </v>
      </c>
      <c r="K1615" s="39">
        <f t="shared" ref="K1615:K1630" si="255">A1615</f>
        <v>0</v>
      </c>
      <c r="L1615" s="39" t="str">
        <f t="shared" ref="L1615:L1630" si="256">B1615</f>
        <v/>
      </c>
      <c r="M1615" s="40" t="str">
        <f t="shared" ref="M1615:M1630" si="257">F1615</f>
        <v xml:space="preserve"> </v>
      </c>
      <c r="N1615" s="41" t="str">
        <f t="shared" ref="N1615:N1630" ca="1" si="258">G1615</f>
        <v/>
      </c>
      <c r="O1615" s="41" t="str">
        <f t="shared" ref="O1615:O1630" si="259">E1615</f>
        <v xml:space="preserve"> </v>
      </c>
      <c r="P1615" s="60">
        <f t="shared" ref="P1615:P1630" si="260">D1615</f>
        <v>0</v>
      </c>
      <c r="Q1615" s="61"/>
    </row>
    <row r="1616" spans="1:17" ht="13">
      <c r="A1616" s="28">
        <v>0</v>
      </c>
      <c r="B1616" s="28" t="s">
        <v>1053</v>
      </c>
      <c r="C1616" s="129" t="s">
        <v>1050</v>
      </c>
      <c r="D1616" s="128">
        <v>0</v>
      </c>
      <c r="E1616" s="128" t="s">
        <v>1050</v>
      </c>
      <c r="F1616" s="29" t="s">
        <v>1050</v>
      </c>
      <c r="G1616" s="56" t="str">
        <f t="shared" ca="1" si="244"/>
        <v/>
      </c>
      <c r="H1616" s="28" t="str">
        <f t="shared" ca="1" si="253"/>
        <v/>
      </c>
      <c r="J1616" s="38" t="str">
        <f t="shared" si="254"/>
        <v xml:space="preserve"> </v>
      </c>
      <c r="K1616" s="39">
        <f t="shared" si="255"/>
        <v>0</v>
      </c>
      <c r="L1616" s="39" t="str">
        <f t="shared" si="256"/>
        <v/>
      </c>
      <c r="M1616" s="40" t="str">
        <f t="shared" si="257"/>
        <v xml:space="preserve"> </v>
      </c>
      <c r="N1616" s="41" t="str">
        <f t="shared" ca="1" si="258"/>
        <v/>
      </c>
      <c r="O1616" s="41" t="str">
        <f t="shared" si="259"/>
        <v xml:space="preserve"> </v>
      </c>
      <c r="P1616" s="60">
        <f t="shared" si="260"/>
        <v>0</v>
      </c>
      <c r="Q1616" s="61"/>
    </row>
    <row r="1617" spans="1:17" ht="13">
      <c r="A1617" s="28">
        <v>0</v>
      </c>
      <c r="B1617" s="28" t="s">
        <v>1053</v>
      </c>
      <c r="C1617" s="129" t="s">
        <v>1050</v>
      </c>
      <c r="D1617" s="128">
        <v>0</v>
      </c>
      <c r="E1617" s="128" t="s">
        <v>1050</v>
      </c>
      <c r="F1617" s="29" t="s">
        <v>1050</v>
      </c>
      <c r="G1617" s="56" t="str">
        <f t="shared" ca="1" si="244"/>
        <v/>
      </c>
      <c r="H1617" s="28" t="str">
        <f t="shared" ca="1" si="253"/>
        <v/>
      </c>
      <c r="J1617" s="38" t="str">
        <f t="shared" si="254"/>
        <v xml:space="preserve"> </v>
      </c>
      <c r="K1617" s="39">
        <f t="shared" si="255"/>
        <v>0</v>
      </c>
      <c r="L1617" s="39" t="str">
        <f t="shared" si="256"/>
        <v/>
      </c>
      <c r="M1617" s="40" t="str">
        <f t="shared" si="257"/>
        <v xml:space="preserve"> </v>
      </c>
      <c r="N1617" s="41" t="str">
        <f t="shared" ca="1" si="258"/>
        <v/>
      </c>
      <c r="O1617" s="41" t="str">
        <f t="shared" si="259"/>
        <v xml:space="preserve"> </v>
      </c>
      <c r="P1617" s="60">
        <f t="shared" si="260"/>
        <v>0</v>
      </c>
      <c r="Q1617" s="61"/>
    </row>
    <row r="1618" spans="1:17" ht="13">
      <c r="A1618" s="28">
        <v>0</v>
      </c>
      <c r="B1618" s="28" t="s">
        <v>1053</v>
      </c>
      <c r="C1618" s="129" t="s">
        <v>1050</v>
      </c>
      <c r="D1618" s="128">
        <v>0</v>
      </c>
      <c r="E1618" s="128" t="s">
        <v>1050</v>
      </c>
      <c r="F1618" s="29" t="s">
        <v>1050</v>
      </c>
      <c r="G1618" s="56" t="str">
        <f t="shared" ca="1" si="244"/>
        <v/>
      </c>
      <c r="H1618" s="28" t="str">
        <f t="shared" ca="1" si="253"/>
        <v/>
      </c>
      <c r="J1618" s="38" t="str">
        <f t="shared" si="254"/>
        <v xml:space="preserve"> </v>
      </c>
      <c r="K1618" s="39">
        <f t="shared" si="255"/>
        <v>0</v>
      </c>
      <c r="L1618" s="39" t="str">
        <f t="shared" si="256"/>
        <v/>
      </c>
      <c r="M1618" s="40" t="str">
        <f t="shared" si="257"/>
        <v xml:space="preserve"> </v>
      </c>
      <c r="N1618" s="41" t="str">
        <f t="shared" ca="1" si="258"/>
        <v/>
      </c>
      <c r="O1618" s="41" t="str">
        <f t="shared" si="259"/>
        <v xml:space="preserve"> </v>
      </c>
      <c r="P1618" s="60">
        <f t="shared" si="260"/>
        <v>0</v>
      </c>
      <c r="Q1618" s="61"/>
    </row>
    <row r="1619" spans="1:17" ht="13">
      <c r="A1619" s="28">
        <v>0</v>
      </c>
      <c r="B1619" s="28" t="s">
        <v>1053</v>
      </c>
      <c r="C1619" s="129" t="s">
        <v>1050</v>
      </c>
      <c r="D1619" s="128">
        <v>0</v>
      </c>
      <c r="E1619" s="128" t="s">
        <v>1050</v>
      </c>
      <c r="F1619" s="29" t="s">
        <v>1050</v>
      </c>
      <c r="G1619" s="56" t="str">
        <f t="shared" ca="1" si="244"/>
        <v/>
      </c>
      <c r="H1619" s="28" t="str">
        <f t="shared" ca="1" si="253"/>
        <v/>
      </c>
      <c r="J1619" s="38" t="str">
        <f t="shared" si="254"/>
        <v xml:space="preserve"> </v>
      </c>
      <c r="K1619" s="39">
        <f t="shared" si="255"/>
        <v>0</v>
      </c>
      <c r="L1619" s="39" t="str">
        <f t="shared" si="256"/>
        <v/>
      </c>
      <c r="M1619" s="40" t="str">
        <f t="shared" si="257"/>
        <v xml:space="preserve"> </v>
      </c>
      <c r="N1619" s="41" t="str">
        <f t="shared" ca="1" si="258"/>
        <v/>
      </c>
      <c r="O1619" s="41" t="str">
        <f t="shared" si="259"/>
        <v xml:space="preserve"> </v>
      </c>
      <c r="P1619" s="60">
        <f t="shared" si="260"/>
        <v>0</v>
      </c>
      <c r="Q1619" s="61"/>
    </row>
    <row r="1620" spans="1:17" ht="13">
      <c r="A1620" s="28">
        <v>0</v>
      </c>
      <c r="B1620" s="28" t="s">
        <v>1053</v>
      </c>
      <c r="C1620" s="129" t="s">
        <v>1050</v>
      </c>
      <c r="D1620" s="128">
        <v>0</v>
      </c>
      <c r="E1620" s="128" t="s">
        <v>1050</v>
      </c>
      <c r="F1620" s="29" t="s">
        <v>1050</v>
      </c>
      <c r="G1620" s="56" t="str">
        <f t="shared" ca="1" si="244"/>
        <v/>
      </c>
      <c r="H1620" s="28" t="str">
        <f t="shared" ca="1" si="253"/>
        <v/>
      </c>
      <c r="J1620" s="38" t="str">
        <f t="shared" si="254"/>
        <v xml:space="preserve"> </v>
      </c>
      <c r="K1620" s="39">
        <f t="shared" si="255"/>
        <v>0</v>
      </c>
      <c r="L1620" s="39" t="str">
        <f t="shared" si="256"/>
        <v/>
      </c>
      <c r="M1620" s="40" t="str">
        <f t="shared" si="257"/>
        <v xml:space="preserve"> </v>
      </c>
      <c r="N1620" s="41" t="str">
        <f t="shared" ca="1" si="258"/>
        <v/>
      </c>
      <c r="O1620" s="41" t="str">
        <f t="shared" si="259"/>
        <v xml:space="preserve"> </v>
      </c>
      <c r="P1620" s="60">
        <f t="shared" si="260"/>
        <v>0</v>
      </c>
      <c r="Q1620" s="61"/>
    </row>
    <row r="1621" spans="1:17" ht="13">
      <c r="A1621" s="28">
        <v>0</v>
      </c>
      <c r="B1621" s="28" t="s">
        <v>1053</v>
      </c>
      <c r="C1621" s="129" t="s">
        <v>1050</v>
      </c>
      <c r="D1621" s="128">
        <v>0</v>
      </c>
      <c r="E1621" s="128" t="s">
        <v>1050</v>
      </c>
      <c r="F1621" s="29" t="s">
        <v>1050</v>
      </c>
      <c r="G1621" s="56" t="str">
        <f t="shared" ca="1" si="244"/>
        <v/>
      </c>
      <c r="H1621" s="28" t="str">
        <f t="shared" ca="1" si="253"/>
        <v/>
      </c>
      <c r="J1621" s="38" t="str">
        <f t="shared" si="254"/>
        <v xml:space="preserve"> </v>
      </c>
      <c r="K1621" s="39">
        <f t="shared" si="255"/>
        <v>0</v>
      </c>
      <c r="L1621" s="39" t="str">
        <f t="shared" si="256"/>
        <v/>
      </c>
      <c r="M1621" s="40" t="str">
        <f t="shared" si="257"/>
        <v xml:space="preserve"> </v>
      </c>
      <c r="N1621" s="41" t="str">
        <f t="shared" ca="1" si="258"/>
        <v/>
      </c>
      <c r="O1621" s="41" t="str">
        <f t="shared" si="259"/>
        <v xml:space="preserve"> </v>
      </c>
      <c r="P1621" s="60">
        <f t="shared" si="260"/>
        <v>0</v>
      </c>
      <c r="Q1621" s="61"/>
    </row>
    <row r="1622" spans="1:17" ht="13">
      <c r="A1622" s="28">
        <v>0</v>
      </c>
      <c r="B1622" s="28" t="s">
        <v>1053</v>
      </c>
      <c r="C1622" s="129" t="s">
        <v>1050</v>
      </c>
      <c r="D1622" s="128">
        <v>0</v>
      </c>
      <c r="E1622" s="128" t="s">
        <v>1050</v>
      </c>
      <c r="F1622" s="29" t="s">
        <v>1050</v>
      </c>
      <c r="G1622" s="56" t="str">
        <f t="shared" ca="1" si="244"/>
        <v/>
      </c>
      <c r="H1622" s="28" t="str">
        <f t="shared" ca="1" si="253"/>
        <v/>
      </c>
      <c r="J1622" s="38" t="str">
        <f t="shared" si="254"/>
        <v xml:space="preserve"> </v>
      </c>
      <c r="K1622" s="39">
        <f t="shared" si="255"/>
        <v>0</v>
      </c>
      <c r="L1622" s="39" t="str">
        <f t="shared" si="256"/>
        <v/>
      </c>
      <c r="M1622" s="40" t="str">
        <f t="shared" si="257"/>
        <v xml:space="preserve"> </v>
      </c>
      <c r="N1622" s="41" t="str">
        <f t="shared" ca="1" si="258"/>
        <v/>
      </c>
      <c r="O1622" s="41" t="str">
        <f t="shared" si="259"/>
        <v xml:space="preserve"> </v>
      </c>
      <c r="P1622" s="60">
        <f t="shared" si="260"/>
        <v>0</v>
      </c>
      <c r="Q1622" s="61"/>
    </row>
    <row r="1623" spans="1:17" ht="13">
      <c r="A1623" s="28">
        <v>0</v>
      </c>
      <c r="B1623" s="28" t="s">
        <v>1053</v>
      </c>
      <c r="C1623" s="129" t="s">
        <v>1050</v>
      </c>
      <c r="D1623" s="128">
        <v>0</v>
      </c>
      <c r="E1623" s="128" t="s">
        <v>1050</v>
      </c>
      <c r="F1623" s="29" t="s">
        <v>1050</v>
      </c>
      <c r="G1623" s="56" t="str">
        <f t="shared" ca="1" si="244"/>
        <v/>
      </c>
      <c r="H1623" s="28" t="str">
        <f t="shared" ca="1" si="253"/>
        <v/>
      </c>
      <c r="J1623" s="38" t="str">
        <f t="shared" si="254"/>
        <v xml:space="preserve"> </v>
      </c>
      <c r="K1623" s="39">
        <f t="shared" si="255"/>
        <v>0</v>
      </c>
      <c r="L1623" s="39" t="str">
        <f t="shared" si="256"/>
        <v/>
      </c>
      <c r="M1623" s="40" t="str">
        <f t="shared" si="257"/>
        <v xml:space="preserve"> </v>
      </c>
      <c r="N1623" s="41" t="str">
        <f t="shared" ca="1" si="258"/>
        <v/>
      </c>
      <c r="O1623" s="41" t="str">
        <f t="shared" si="259"/>
        <v xml:space="preserve"> </v>
      </c>
      <c r="P1623" s="60">
        <f t="shared" si="260"/>
        <v>0</v>
      </c>
      <c r="Q1623" s="61"/>
    </row>
    <row r="1624" spans="1:17" ht="13">
      <c r="A1624" s="28">
        <v>0</v>
      </c>
      <c r="B1624" s="28" t="s">
        <v>1053</v>
      </c>
      <c r="C1624" s="129" t="s">
        <v>1050</v>
      </c>
      <c r="D1624" s="128">
        <v>0</v>
      </c>
      <c r="E1624" s="128" t="s">
        <v>1050</v>
      </c>
      <c r="F1624" s="29" t="s">
        <v>1050</v>
      </c>
      <c r="G1624" s="56" t="str">
        <f t="shared" ca="1" si="244"/>
        <v/>
      </c>
      <c r="H1624" s="28" t="str">
        <f t="shared" ca="1" si="253"/>
        <v/>
      </c>
      <c r="J1624" s="38" t="str">
        <f t="shared" si="254"/>
        <v xml:space="preserve"> </v>
      </c>
      <c r="K1624" s="39">
        <f t="shared" si="255"/>
        <v>0</v>
      </c>
      <c r="L1624" s="39" t="str">
        <f t="shared" si="256"/>
        <v/>
      </c>
      <c r="M1624" s="40" t="str">
        <f t="shared" si="257"/>
        <v xml:space="preserve"> </v>
      </c>
      <c r="N1624" s="41" t="str">
        <f t="shared" ca="1" si="258"/>
        <v/>
      </c>
      <c r="O1624" s="41" t="str">
        <f t="shared" si="259"/>
        <v xml:space="preserve"> </v>
      </c>
      <c r="P1624" s="60">
        <f t="shared" si="260"/>
        <v>0</v>
      </c>
      <c r="Q1624" s="61"/>
    </row>
    <row r="1625" spans="1:17" ht="13">
      <c r="A1625" s="28">
        <v>0</v>
      </c>
      <c r="B1625" s="28" t="s">
        <v>1053</v>
      </c>
      <c r="C1625" s="129" t="s">
        <v>1050</v>
      </c>
      <c r="D1625" s="128">
        <v>0</v>
      </c>
      <c r="E1625" s="128" t="s">
        <v>1050</v>
      </c>
      <c r="F1625" s="29" t="s">
        <v>1050</v>
      </c>
      <c r="G1625" s="56" t="str">
        <f t="shared" ca="1" si="244"/>
        <v/>
      </c>
      <c r="H1625" s="28" t="str">
        <f t="shared" ca="1" si="253"/>
        <v/>
      </c>
      <c r="J1625" s="38" t="str">
        <f t="shared" si="254"/>
        <v xml:space="preserve"> </v>
      </c>
      <c r="K1625" s="39">
        <f t="shared" si="255"/>
        <v>0</v>
      </c>
      <c r="L1625" s="39" t="str">
        <f t="shared" si="256"/>
        <v/>
      </c>
      <c r="M1625" s="40" t="str">
        <f t="shared" si="257"/>
        <v xml:space="preserve"> </v>
      </c>
      <c r="N1625" s="41" t="str">
        <f t="shared" ca="1" si="258"/>
        <v/>
      </c>
      <c r="O1625" s="41" t="str">
        <f t="shared" si="259"/>
        <v xml:space="preserve"> </v>
      </c>
      <c r="P1625" s="60">
        <f t="shared" si="260"/>
        <v>0</v>
      </c>
      <c r="Q1625" s="61"/>
    </row>
    <row r="1626" spans="1:17" ht="13">
      <c r="A1626" s="28">
        <v>0</v>
      </c>
      <c r="B1626" s="28" t="s">
        <v>1053</v>
      </c>
      <c r="C1626" s="129" t="s">
        <v>1050</v>
      </c>
      <c r="D1626" s="128">
        <v>0</v>
      </c>
      <c r="E1626" s="128" t="s">
        <v>1050</v>
      </c>
      <c r="F1626" s="29" t="s">
        <v>1050</v>
      </c>
      <c r="G1626" s="56" t="str">
        <f t="shared" ca="1" si="244"/>
        <v/>
      </c>
      <c r="H1626" s="28" t="str">
        <f t="shared" ca="1" si="253"/>
        <v/>
      </c>
      <c r="J1626" s="38" t="str">
        <f t="shared" si="254"/>
        <v xml:space="preserve"> </v>
      </c>
      <c r="K1626" s="39">
        <f t="shared" si="255"/>
        <v>0</v>
      </c>
      <c r="L1626" s="39" t="str">
        <f t="shared" si="256"/>
        <v/>
      </c>
      <c r="M1626" s="40" t="str">
        <f t="shared" si="257"/>
        <v xml:space="preserve"> </v>
      </c>
      <c r="N1626" s="41" t="str">
        <f t="shared" ca="1" si="258"/>
        <v/>
      </c>
      <c r="O1626" s="41" t="str">
        <f t="shared" si="259"/>
        <v xml:space="preserve"> </v>
      </c>
      <c r="P1626" s="60">
        <f t="shared" si="260"/>
        <v>0</v>
      </c>
      <c r="Q1626" s="61"/>
    </row>
    <row r="1627" spans="1:17" ht="13">
      <c r="A1627" s="28">
        <v>0</v>
      </c>
      <c r="B1627" s="28" t="s">
        <v>1053</v>
      </c>
      <c r="C1627" s="129" t="s">
        <v>1050</v>
      </c>
      <c r="D1627" s="128">
        <v>0</v>
      </c>
      <c r="E1627" s="128" t="s">
        <v>1050</v>
      </c>
      <c r="F1627" s="29" t="s">
        <v>1050</v>
      </c>
      <c r="G1627" s="56" t="str">
        <f t="shared" ca="1" si="244"/>
        <v/>
      </c>
      <c r="H1627" s="28" t="str">
        <f t="shared" ca="1" si="253"/>
        <v/>
      </c>
      <c r="J1627" s="38" t="str">
        <f t="shared" si="254"/>
        <v xml:space="preserve"> </v>
      </c>
      <c r="K1627" s="39">
        <f t="shared" si="255"/>
        <v>0</v>
      </c>
      <c r="L1627" s="39" t="str">
        <f t="shared" si="256"/>
        <v/>
      </c>
      <c r="M1627" s="40" t="str">
        <f t="shared" si="257"/>
        <v xml:space="preserve"> </v>
      </c>
      <c r="N1627" s="41" t="str">
        <f t="shared" ca="1" si="258"/>
        <v/>
      </c>
      <c r="O1627" s="41" t="str">
        <f t="shared" si="259"/>
        <v xml:space="preserve"> </v>
      </c>
      <c r="P1627" s="60">
        <f t="shared" si="260"/>
        <v>0</v>
      </c>
      <c r="Q1627" s="61"/>
    </row>
    <row r="1628" spans="1:17" ht="13">
      <c r="A1628" s="28">
        <v>0</v>
      </c>
      <c r="B1628" s="28" t="s">
        <v>1053</v>
      </c>
      <c r="C1628" s="129" t="s">
        <v>1050</v>
      </c>
      <c r="D1628" s="128">
        <v>0</v>
      </c>
      <c r="E1628" s="128" t="s">
        <v>1050</v>
      </c>
      <c r="F1628" s="29" t="s">
        <v>1050</v>
      </c>
      <c r="G1628" s="56" t="str">
        <f t="shared" ca="1" si="244"/>
        <v/>
      </c>
      <c r="H1628" s="28" t="str">
        <f t="shared" ca="1" si="253"/>
        <v/>
      </c>
      <c r="J1628" s="38" t="str">
        <f t="shared" si="254"/>
        <v xml:space="preserve"> </v>
      </c>
      <c r="K1628" s="39">
        <f t="shared" si="255"/>
        <v>0</v>
      </c>
      <c r="L1628" s="39" t="str">
        <f t="shared" si="256"/>
        <v/>
      </c>
      <c r="M1628" s="40" t="str">
        <f t="shared" si="257"/>
        <v xml:space="preserve"> </v>
      </c>
      <c r="N1628" s="41" t="str">
        <f t="shared" ca="1" si="258"/>
        <v/>
      </c>
      <c r="O1628" s="41" t="str">
        <f t="shared" si="259"/>
        <v xml:space="preserve"> </v>
      </c>
      <c r="P1628" s="60">
        <f t="shared" si="260"/>
        <v>0</v>
      </c>
      <c r="Q1628" s="61"/>
    </row>
    <row r="1629" spans="1:17" ht="13">
      <c r="A1629" s="28">
        <v>0</v>
      </c>
      <c r="B1629" s="28" t="s">
        <v>1053</v>
      </c>
      <c r="C1629" s="129" t="s">
        <v>1050</v>
      </c>
      <c r="D1629" s="128">
        <v>0</v>
      </c>
      <c r="E1629" s="128" t="s">
        <v>1050</v>
      </c>
      <c r="F1629" s="29" t="s">
        <v>1050</v>
      </c>
      <c r="G1629" s="56" t="str">
        <f t="shared" ca="1" si="244"/>
        <v/>
      </c>
      <c r="H1629" s="28" t="str">
        <f t="shared" ca="1" si="253"/>
        <v/>
      </c>
      <c r="J1629" s="38" t="str">
        <f t="shared" si="254"/>
        <v xml:space="preserve"> </v>
      </c>
      <c r="K1629" s="39">
        <f t="shared" si="255"/>
        <v>0</v>
      </c>
      <c r="L1629" s="39" t="str">
        <f t="shared" si="256"/>
        <v/>
      </c>
      <c r="M1629" s="40" t="str">
        <f t="shared" si="257"/>
        <v xml:space="preserve"> </v>
      </c>
      <c r="N1629" s="41" t="str">
        <f t="shared" ca="1" si="258"/>
        <v/>
      </c>
      <c r="O1629" s="41" t="str">
        <f t="shared" si="259"/>
        <v xml:space="preserve"> </v>
      </c>
      <c r="P1629" s="60">
        <f t="shared" si="260"/>
        <v>0</v>
      </c>
      <c r="Q1629" s="61"/>
    </row>
    <row r="1630" spans="1:17" ht="13">
      <c r="A1630" s="28">
        <v>0</v>
      </c>
      <c r="B1630" s="28" t="s">
        <v>1053</v>
      </c>
      <c r="C1630" s="129" t="s">
        <v>1050</v>
      </c>
      <c r="D1630" s="128">
        <v>0</v>
      </c>
      <c r="E1630" s="128" t="s">
        <v>1050</v>
      </c>
      <c r="F1630" s="29" t="s">
        <v>1050</v>
      </c>
      <c r="G1630" s="56" t="str">
        <f t="shared" ca="1" si="244"/>
        <v/>
      </c>
      <c r="H1630" s="28" t="str">
        <f t="shared" ca="1" si="253"/>
        <v/>
      </c>
      <c r="J1630" s="38" t="str">
        <f t="shared" si="254"/>
        <v xml:space="preserve"> </v>
      </c>
      <c r="K1630" s="39">
        <f t="shared" si="255"/>
        <v>0</v>
      </c>
      <c r="L1630" s="39" t="str">
        <f t="shared" si="256"/>
        <v/>
      </c>
      <c r="M1630" s="40" t="str">
        <f t="shared" si="257"/>
        <v xml:space="preserve"> </v>
      </c>
      <c r="N1630" s="41" t="str">
        <f t="shared" ca="1" si="258"/>
        <v/>
      </c>
      <c r="O1630" s="41" t="str">
        <f t="shared" si="259"/>
        <v xml:space="preserve"> </v>
      </c>
      <c r="P1630" s="60">
        <f t="shared" si="260"/>
        <v>0</v>
      </c>
      <c r="Q1630" s="61"/>
    </row>
    <row r="1631" spans="1:17" ht="15" customHeight="1">
      <c r="A1631" s="28">
        <v>0</v>
      </c>
      <c r="B1631" s="28" t="s">
        <v>1053</v>
      </c>
      <c r="C1631" s="129" t="s">
        <v>1050</v>
      </c>
      <c r="D1631" s="128">
        <v>0</v>
      </c>
      <c r="E1631" s="128" t="s">
        <v>1050</v>
      </c>
      <c r="F1631" s="29" t="s">
        <v>1050</v>
      </c>
      <c r="G1631" s="56" t="str">
        <f t="shared" ca="1" si="244"/>
        <v/>
      </c>
      <c r="H1631" s="28" t="str">
        <f t="shared" ref="H1631:H1694" ca="1" si="261">IFERROR(IF($A1631&gt;0,ROUNDDOWN(INT(TODAY()-F1631)/365.25,0),""),"")</f>
        <v/>
      </c>
      <c r="J1631" s="38" t="str">
        <f t="shared" ref="J1631:J1694" si="262">C1631</f>
        <v xml:space="preserve"> </v>
      </c>
      <c r="K1631" s="39">
        <f t="shared" ref="K1631:K1694" si="263">A1631</f>
        <v>0</v>
      </c>
      <c r="L1631" s="39" t="str">
        <f t="shared" ref="L1631:L1694" si="264">B1631</f>
        <v/>
      </c>
      <c r="M1631" s="40" t="str">
        <f t="shared" ref="M1631:M1694" si="265">F1631</f>
        <v xml:space="preserve"> </v>
      </c>
      <c r="N1631" s="41" t="str">
        <f t="shared" ref="N1631:N1694" ca="1" si="266">G1631</f>
        <v/>
      </c>
      <c r="O1631" s="41" t="str">
        <f t="shared" ref="O1631:O1694" si="267">E1631</f>
        <v xml:space="preserve"> </v>
      </c>
      <c r="P1631" s="60">
        <f t="shared" ref="P1631:P1694" si="268">D1631</f>
        <v>0</v>
      </c>
    </row>
    <row r="1632" spans="1:17" ht="15" customHeight="1">
      <c r="A1632" s="28">
        <v>0</v>
      </c>
      <c r="B1632" s="28" t="s">
        <v>1053</v>
      </c>
      <c r="C1632" s="129" t="s">
        <v>1050</v>
      </c>
      <c r="D1632" s="128">
        <v>0</v>
      </c>
      <c r="E1632" s="128" t="s">
        <v>1050</v>
      </c>
      <c r="F1632" s="29" t="s">
        <v>1050</v>
      </c>
      <c r="G1632" s="56" t="str">
        <f t="shared" ca="1" si="244"/>
        <v/>
      </c>
      <c r="H1632" s="28" t="str">
        <f t="shared" ca="1" si="261"/>
        <v/>
      </c>
      <c r="J1632" s="38" t="str">
        <f t="shared" si="262"/>
        <v xml:space="preserve"> </v>
      </c>
      <c r="K1632" s="39">
        <f t="shared" si="263"/>
        <v>0</v>
      </c>
      <c r="L1632" s="39" t="str">
        <f t="shared" si="264"/>
        <v/>
      </c>
      <c r="M1632" s="40" t="str">
        <f t="shared" si="265"/>
        <v xml:space="preserve"> </v>
      </c>
      <c r="N1632" s="41" t="str">
        <f t="shared" ca="1" si="266"/>
        <v/>
      </c>
      <c r="O1632" s="41" t="str">
        <f t="shared" si="267"/>
        <v xml:space="preserve"> </v>
      </c>
      <c r="P1632" s="60">
        <f t="shared" si="268"/>
        <v>0</v>
      </c>
    </row>
    <row r="1633" spans="1:16" ht="15" customHeight="1">
      <c r="A1633" s="28">
        <v>0</v>
      </c>
      <c r="B1633" s="28" t="s">
        <v>1053</v>
      </c>
      <c r="C1633" s="129" t="s">
        <v>1050</v>
      </c>
      <c r="D1633" s="128">
        <v>0</v>
      </c>
      <c r="E1633" s="128" t="s">
        <v>1050</v>
      </c>
      <c r="F1633" s="29" t="s">
        <v>1050</v>
      </c>
      <c r="G1633" s="56" t="str">
        <f t="shared" ca="1" si="244"/>
        <v/>
      </c>
      <c r="H1633" s="28" t="str">
        <f t="shared" ca="1" si="261"/>
        <v/>
      </c>
      <c r="J1633" s="38" t="str">
        <f t="shared" si="262"/>
        <v xml:space="preserve"> </v>
      </c>
      <c r="K1633" s="39">
        <f t="shared" si="263"/>
        <v>0</v>
      </c>
      <c r="L1633" s="39" t="str">
        <f t="shared" si="264"/>
        <v/>
      </c>
      <c r="M1633" s="40" t="str">
        <f t="shared" si="265"/>
        <v xml:space="preserve"> </v>
      </c>
      <c r="N1633" s="41" t="str">
        <f t="shared" ca="1" si="266"/>
        <v/>
      </c>
      <c r="O1633" s="41" t="str">
        <f t="shared" si="267"/>
        <v xml:space="preserve"> </v>
      </c>
      <c r="P1633" s="60">
        <f t="shared" si="268"/>
        <v>0</v>
      </c>
    </row>
    <row r="1634" spans="1:16" ht="15" customHeight="1">
      <c r="A1634" s="28">
        <v>0</v>
      </c>
      <c r="B1634" s="28" t="s">
        <v>1053</v>
      </c>
      <c r="C1634" s="129" t="s">
        <v>1050</v>
      </c>
      <c r="D1634" s="128">
        <v>0</v>
      </c>
      <c r="E1634" s="128" t="s">
        <v>1050</v>
      </c>
      <c r="F1634" s="29" t="s">
        <v>1050</v>
      </c>
      <c r="G1634" s="56" t="str">
        <f t="shared" ca="1" si="244"/>
        <v/>
      </c>
      <c r="H1634" s="28" t="str">
        <f t="shared" ca="1" si="261"/>
        <v/>
      </c>
      <c r="J1634" s="38" t="str">
        <f t="shared" si="262"/>
        <v xml:space="preserve"> </v>
      </c>
      <c r="K1634" s="39">
        <f t="shared" si="263"/>
        <v>0</v>
      </c>
      <c r="L1634" s="39" t="str">
        <f t="shared" si="264"/>
        <v/>
      </c>
      <c r="M1634" s="40" t="str">
        <f t="shared" si="265"/>
        <v xml:space="preserve"> </v>
      </c>
      <c r="N1634" s="41" t="str">
        <f t="shared" ca="1" si="266"/>
        <v/>
      </c>
      <c r="O1634" s="41" t="str">
        <f t="shared" si="267"/>
        <v xml:space="preserve"> </v>
      </c>
      <c r="P1634" s="60">
        <f t="shared" si="268"/>
        <v>0</v>
      </c>
    </row>
    <row r="1635" spans="1:16" ht="15" customHeight="1">
      <c r="A1635" s="28">
        <v>0</v>
      </c>
      <c r="B1635" s="28" t="s">
        <v>1053</v>
      </c>
      <c r="C1635" s="129" t="s">
        <v>1050</v>
      </c>
      <c r="D1635" s="128">
        <v>0</v>
      </c>
      <c r="E1635" s="128" t="s">
        <v>1050</v>
      </c>
      <c r="F1635" s="29" t="s">
        <v>1050</v>
      </c>
      <c r="G1635" s="56" t="str">
        <f t="shared" ca="1" si="244"/>
        <v/>
      </c>
      <c r="H1635" s="28" t="str">
        <f t="shared" ca="1" si="261"/>
        <v/>
      </c>
      <c r="J1635" s="38" t="str">
        <f t="shared" si="262"/>
        <v xml:space="preserve"> </v>
      </c>
      <c r="K1635" s="39">
        <f t="shared" si="263"/>
        <v>0</v>
      </c>
      <c r="L1635" s="39" t="str">
        <f t="shared" si="264"/>
        <v/>
      </c>
      <c r="M1635" s="40" t="str">
        <f t="shared" si="265"/>
        <v xml:space="preserve"> </v>
      </c>
      <c r="N1635" s="41" t="str">
        <f t="shared" ca="1" si="266"/>
        <v/>
      </c>
      <c r="O1635" s="41" t="str">
        <f t="shared" si="267"/>
        <v xml:space="preserve"> </v>
      </c>
      <c r="P1635" s="60">
        <f t="shared" si="268"/>
        <v>0</v>
      </c>
    </row>
    <row r="1636" spans="1:16" ht="15" customHeight="1">
      <c r="A1636" s="28">
        <v>0</v>
      </c>
      <c r="B1636" s="28" t="s">
        <v>1053</v>
      </c>
      <c r="C1636" s="129" t="s">
        <v>1050</v>
      </c>
      <c r="D1636" s="128">
        <v>0</v>
      </c>
      <c r="E1636" s="128" t="s">
        <v>1050</v>
      </c>
      <c r="F1636" s="29" t="s">
        <v>1050</v>
      </c>
      <c r="G1636" s="56" t="str">
        <f t="shared" ca="1" si="244"/>
        <v/>
      </c>
      <c r="H1636" s="28" t="str">
        <f t="shared" ca="1" si="261"/>
        <v/>
      </c>
      <c r="J1636" s="38" t="str">
        <f t="shared" si="262"/>
        <v xml:space="preserve"> </v>
      </c>
      <c r="K1636" s="39">
        <f t="shared" si="263"/>
        <v>0</v>
      </c>
      <c r="L1636" s="39" t="str">
        <f t="shared" si="264"/>
        <v/>
      </c>
      <c r="M1636" s="40" t="str">
        <f t="shared" si="265"/>
        <v xml:space="preserve"> </v>
      </c>
      <c r="N1636" s="41" t="str">
        <f t="shared" ca="1" si="266"/>
        <v/>
      </c>
      <c r="O1636" s="41" t="str">
        <f t="shared" si="267"/>
        <v xml:space="preserve"> </v>
      </c>
      <c r="P1636" s="60">
        <f t="shared" si="268"/>
        <v>0</v>
      </c>
    </row>
    <row r="1637" spans="1:16" ht="15" customHeight="1">
      <c r="A1637" s="28">
        <v>0</v>
      </c>
      <c r="B1637" s="28" t="s">
        <v>1053</v>
      </c>
      <c r="C1637" s="129" t="s">
        <v>1050</v>
      </c>
      <c r="D1637" s="128">
        <v>0</v>
      </c>
      <c r="E1637" s="128" t="s">
        <v>1050</v>
      </c>
      <c r="F1637" s="29" t="s">
        <v>1050</v>
      </c>
      <c r="G1637" s="56" t="str">
        <f t="shared" ca="1" si="244"/>
        <v/>
      </c>
      <c r="H1637" s="28" t="str">
        <f t="shared" ca="1" si="261"/>
        <v/>
      </c>
      <c r="J1637" s="38" t="str">
        <f t="shared" si="262"/>
        <v xml:space="preserve"> </v>
      </c>
      <c r="K1637" s="39">
        <f t="shared" si="263"/>
        <v>0</v>
      </c>
      <c r="L1637" s="39" t="str">
        <f t="shared" si="264"/>
        <v/>
      </c>
      <c r="M1637" s="40" t="str">
        <f t="shared" si="265"/>
        <v xml:space="preserve"> </v>
      </c>
      <c r="N1637" s="41" t="str">
        <f t="shared" ca="1" si="266"/>
        <v/>
      </c>
      <c r="O1637" s="41" t="str">
        <f t="shared" si="267"/>
        <v xml:space="preserve"> </v>
      </c>
      <c r="P1637" s="60">
        <f t="shared" si="268"/>
        <v>0</v>
      </c>
    </row>
    <row r="1638" spans="1:16" ht="15" customHeight="1">
      <c r="A1638" s="28">
        <v>0</v>
      </c>
      <c r="B1638" s="28" t="s">
        <v>1053</v>
      </c>
      <c r="C1638" s="129" t="s">
        <v>1050</v>
      </c>
      <c r="D1638" s="128">
        <v>0</v>
      </c>
      <c r="E1638" s="128" t="s">
        <v>1050</v>
      </c>
      <c r="F1638" s="29" t="s">
        <v>1050</v>
      </c>
      <c r="G1638" s="56" t="str">
        <f t="shared" ca="1" si="244"/>
        <v/>
      </c>
      <c r="H1638" s="28" t="str">
        <f t="shared" ca="1" si="261"/>
        <v/>
      </c>
      <c r="J1638" s="38" t="str">
        <f t="shared" si="262"/>
        <v xml:space="preserve"> </v>
      </c>
      <c r="K1638" s="39">
        <f t="shared" si="263"/>
        <v>0</v>
      </c>
      <c r="L1638" s="39" t="str">
        <f t="shared" si="264"/>
        <v/>
      </c>
      <c r="M1638" s="40" t="str">
        <f t="shared" si="265"/>
        <v xml:space="preserve"> </v>
      </c>
      <c r="N1638" s="41" t="str">
        <f t="shared" ca="1" si="266"/>
        <v/>
      </c>
      <c r="O1638" s="41" t="str">
        <f t="shared" si="267"/>
        <v xml:space="preserve"> </v>
      </c>
      <c r="P1638" s="60">
        <f t="shared" si="268"/>
        <v>0</v>
      </c>
    </row>
    <row r="1639" spans="1:16" ht="15" customHeight="1">
      <c r="A1639" s="28">
        <v>0</v>
      </c>
      <c r="B1639" s="28" t="s">
        <v>1053</v>
      </c>
      <c r="C1639" s="129" t="s">
        <v>1050</v>
      </c>
      <c r="D1639" s="128">
        <v>0</v>
      </c>
      <c r="E1639" s="128" t="s">
        <v>1050</v>
      </c>
      <c r="F1639" s="29" t="s">
        <v>1050</v>
      </c>
      <c r="G1639" s="56" t="str">
        <f t="shared" ca="1" si="244"/>
        <v/>
      </c>
      <c r="H1639" s="28" t="str">
        <f t="shared" ca="1" si="261"/>
        <v/>
      </c>
      <c r="J1639" s="38" t="str">
        <f t="shared" si="262"/>
        <v xml:space="preserve"> </v>
      </c>
      <c r="K1639" s="39">
        <f t="shared" si="263"/>
        <v>0</v>
      </c>
      <c r="L1639" s="39" t="str">
        <f t="shared" si="264"/>
        <v/>
      </c>
      <c r="M1639" s="40" t="str">
        <f t="shared" si="265"/>
        <v xml:space="preserve"> </v>
      </c>
      <c r="N1639" s="41" t="str">
        <f t="shared" ca="1" si="266"/>
        <v/>
      </c>
      <c r="O1639" s="41" t="str">
        <f t="shared" si="267"/>
        <v xml:space="preserve"> </v>
      </c>
      <c r="P1639" s="60">
        <f t="shared" si="268"/>
        <v>0</v>
      </c>
    </row>
    <row r="1640" spans="1:16" ht="15" customHeight="1">
      <c r="A1640" s="28">
        <v>0</v>
      </c>
      <c r="B1640" s="28" t="s">
        <v>1053</v>
      </c>
      <c r="C1640" s="129" t="s">
        <v>1050</v>
      </c>
      <c r="D1640" s="128">
        <v>0</v>
      </c>
      <c r="E1640" s="128" t="s">
        <v>1050</v>
      </c>
      <c r="F1640" s="29" t="s">
        <v>1050</v>
      </c>
      <c r="G1640" s="56" t="str">
        <f t="shared" ca="1" si="244"/>
        <v/>
      </c>
      <c r="H1640" s="28" t="str">
        <f t="shared" ca="1" si="261"/>
        <v/>
      </c>
      <c r="J1640" s="38" t="str">
        <f t="shared" si="262"/>
        <v xml:space="preserve"> </v>
      </c>
      <c r="K1640" s="39">
        <f t="shared" si="263"/>
        <v>0</v>
      </c>
      <c r="L1640" s="39" t="str">
        <f t="shared" si="264"/>
        <v/>
      </c>
      <c r="M1640" s="40" t="str">
        <f t="shared" si="265"/>
        <v xml:space="preserve"> </v>
      </c>
      <c r="N1640" s="41" t="str">
        <f t="shared" ca="1" si="266"/>
        <v/>
      </c>
      <c r="O1640" s="41" t="str">
        <f t="shared" si="267"/>
        <v xml:space="preserve"> </v>
      </c>
      <c r="P1640" s="60">
        <f t="shared" si="268"/>
        <v>0</v>
      </c>
    </row>
    <row r="1641" spans="1:16" ht="15" customHeight="1">
      <c r="A1641" s="28">
        <v>0</v>
      </c>
      <c r="B1641" s="28" t="s">
        <v>1053</v>
      </c>
      <c r="C1641" s="129" t="s">
        <v>1050</v>
      </c>
      <c r="D1641" s="128">
        <v>0</v>
      </c>
      <c r="E1641" s="128" t="s">
        <v>1050</v>
      </c>
      <c r="F1641" s="29" t="s">
        <v>1050</v>
      </c>
      <c r="G1641" s="56" t="str">
        <f t="shared" ca="1" si="244"/>
        <v/>
      </c>
      <c r="H1641" s="28" t="str">
        <f t="shared" ca="1" si="261"/>
        <v/>
      </c>
      <c r="J1641" s="38" t="str">
        <f t="shared" si="262"/>
        <v xml:space="preserve"> </v>
      </c>
      <c r="K1641" s="39">
        <f t="shared" si="263"/>
        <v>0</v>
      </c>
      <c r="L1641" s="39" t="str">
        <f t="shared" si="264"/>
        <v/>
      </c>
      <c r="M1641" s="40" t="str">
        <f t="shared" si="265"/>
        <v xml:space="preserve"> </v>
      </c>
      <c r="N1641" s="41" t="str">
        <f t="shared" ca="1" si="266"/>
        <v/>
      </c>
      <c r="O1641" s="41" t="str">
        <f t="shared" si="267"/>
        <v xml:space="preserve"> </v>
      </c>
      <c r="P1641" s="60">
        <f t="shared" si="268"/>
        <v>0</v>
      </c>
    </row>
    <row r="1642" spans="1:16" ht="15" customHeight="1">
      <c r="A1642" s="28">
        <v>0</v>
      </c>
      <c r="B1642" s="28" t="s">
        <v>1053</v>
      </c>
      <c r="C1642" s="129" t="s">
        <v>1050</v>
      </c>
      <c r="D1642" s="128">
        <v>0</v>
      </c>
      <c r="E1642" s="128" t="s">
        <v>1050</v>
      </c>
      <c r="F1642" s="29" t="s">
        <v>1050</v>
      </c>
      <c r="G1642" s="56" t="str">
        <f t="shared" ca="1" si="244"/>
        <v/>
      </c>
      <c r="H1642" s="28" t="str">
        <f t="shared" ca="1" si="261"/>
        <v/>
      </c>
      <c r="J1642" s="38" t="str">
        <f t="shared" si="262"/>
        <v xml:space="preserve"> </v>
      </c>
      <c r="K1642" s="39">
        <f t="shared" si="263"/>
        <v>0</v>
      </c>
      <c r="L1642" s="39" t="str">
        <f t="shared" si="264"/>
        <v/>
      </c>
      <c r="M1642" s="40" t="str">
        <f t="shared" si="265"/>
        <v xml:space="preserve"> </v>
      </c>
      <c r="N1642" s="41" t="str">
        <f t="shared" ca="1" si="266"/>
        <v/>
      </c>
      <c r="O1642" s="41" t="str">
        <f t="shared" si="267"/>
        <v xml:space="preserve"> </v>
      </c>
      <c r="P1642" s="60">
        <f t="shared" si="268"/>
        <v>0</v>
      </c>
    </row>
    <row r="1643" spans="1:16" ht="15" customHeight="1">
      <c r="A1643" s="28">
        <v>0</v>
      </c>
      <c r="B1643" s="28" t="s">
        <v>1053</v>
      </c>
      <c r="C1643" s="129" t="s">
        <v>1050</v>
      </c>
      <c r="D1643" s="128">
        <v>0</v>
      </c>
      <c r="E1643" s="128" t="s">
        <v>1050</v>
      </c>
      <c r="F1643" s="29" t="s">
        <v>1050</v>
      </c>
      <c r="G1643" s="56" t="str">
        <f t="shared" ca="1" si="244"/>
        <v/>
      </c>
      <c r="H1643" s="28" t="str">
        <f t="shared" ca="1" si="261"/>
        <v/>
      </c>
      <c r="J1643" s="38" t="str">
        <f t="shared" si="262"/>
        <v xml:space="preserve"> </v>
      </c>
      <c r="K1643" s="39">
        <f t="shared" si="263"/>
        <v>0</v>
      </c>
      <c r="L1643" s="39" t="str">
        <f t="shared" si="264"/>
        <v/>
      </c>
      <c r="M1643" s="40" t="str">
        <f t="shared" si="265"/>
        <v xml:space="preserve"> </v>
      </c>
      <c r="N1643" s="41" t="str">
        <f t="shared" ca="1" si="266"/>
        <v/>
      </c>
      <c r="O1643" s="41" t="str">
        <f t="shared" si="267"/>
        <v xml:space="preserve"> </v>
      </c>
      <c r="P1643" s="60">
        <f t="shared" si="268"/>
        <v>0</v>
      </c>
    </row>
    <row r="1644" spans="1:16" ht="15" customHeight="1">
      <c r="A1644" s="28">
        <v>0</v>
      </c>
      <c r="B1644" s="28" t="s">
        <v>1053</v>
      </c>
      <c r="C1644" s="129" t="s">
        <v>1050</v>
      </c>
      <c r="D1644" s="128">
        <v>0</v>
      </c>
      <c r="E1644" s="128" t="s">
        <v>1050</v>
      </c>
      <c r="F1644" s="29" t="s">
        <v>1050</v>
      </c>
      <c r="G1644" s="56" t="str">
        <f t="shared" ca="1" si="244"/>
        <v/>
      </c>
      <c r="H1644" s="28" t="str">
        <f t="shared" ca="1" si="261"/>
        <v/>
      </c>
      <c r="J1644" s="38" t="str">
        <f t="shared" si="262"/>
        <v xml:space="preserve"> </v>
      </c>
      <c r="K1644" s="39">
        <f t="shared" si="263"/>
        <v>0</v>
      </c>
      <c r="L1644" s="39" t="str">
        <f t="shared" si="264"/>
        <v/>
      </c>
      <c r="M1644" s="40" t="str">
        <f t="shared" si="265"/>
        <v xml:space="preserve"> </v>
      </c>
      <c r="N1644" s="41" t="str">
        <f t="shared" ca="1" si="266"/>
        <v/>
      </c>
      <c r="O1644" s="41" t="str">
        <f t="shared" si="267"/>
        <v xml:space="preserve"> </v>
      </c>
      <c r="P1644" s="60">
        <f t="shared" si="268"/>
        <v>0</v>
      </c>
    </row>
    <row r="1645" spans="1:16" ht="15" customHeight="1">
      <c r="A1645" s="28">
        <v>0</v>
      </c>
      <c r="B1645" s="28" t="s">
        <v>1053</v>
      </c>
      <c r="C1645" s="129" t="s">
        <v>1050</v>
      </c>
      <c r="D1645" s="128">
        <v>0</v>
      </c>
      <c r="E1645" s="128" t="s">
        <v>1050</v>
      </c>
      <c r="F1645" s="29" t="s">
        <v>1050</v>
      </c>
      <c r="G1645" s="56" t="str">
        <f t="shared" ca="1" si="244"/>
        <v/>
      </c>
      <c r="H1645" s="28" t="str">
        <f t="shared" ca="1" si="261"/>
        <v/>
      </c>
      <c r="J1645" s="38" t="str">
        <f t="shared" si="262"/>
        <v xml:space="preserve"> </v>
      </c>
      <c r="K1645" s="39">
        <f t="shared" si="263"/>
        <v>0</v>
      </c>
      <c r="L1645" s="39" t="str">
        <f t="shared" si="264"/>
        <v/>
      </c>
      <c r="M1645" s="40" t="str">
        <f t="shared" si="265"/>
        <v xml:space="preserve"> </v>
      </c>
      <c r="N1645" s="41" t="str">
        <f t="shared" ca="1" si="266"/>
        <v/>
      </c>
      <c r="O1645" s="41" t="str">
        <f t="shared" si="267"/>
        <v xml:space="preserve"> </v>
      </c>
      <c r="P1645" s="60">
        <f t="shared" si="268"/>
        <v>0</v>
      </c>
    </row>
    <row r="1646" spans="1:16" ht="15" customHeight="1">
      <c r="A1646" s="28">
        <v>0</v>
      </c>
      <c r="B1646" s="28" t="s">
        <v>1053</v>
      </c>
      <c r="C1646" s="129" t="s">
        <v>1050</v>
      </c>
      <c r="D1646" s="128">
        <v>0</v>
      </c>
      <c r="E1646" s="128" t="s">
        <v>1050</v>
      </c>
      <c r="F1646" s="29" t="s">
        <v>1050</v>
      </c>
      <c r="G1646" s="56" t="str">
        <f t="shared" ca="1" si="244"/>
        <v/>
      </c>
      <c r="H1646" s="28" t="str">
        <f t="shared" ca="1" si="261"/>
        <v/>
      </c>
      <c r="J1646" s="38" t="str">
        <f t="shared" si="262"/>
        <v xml:space="preserve"> </v>
      </c>
      <c r="K1646" s="39">
        <f t="shared" si="263"/>
        <v>0</v>
      </c>
      <c r="L1646" s="39" t="str">
        <f t="shared" si="264"/>
        <v/>
      </c>
      <c r="M1646" s="40" t="str">
        <f t="shared" si="265"/>
        <v xml:space="preserve"> </v>
      </c>
      <c r="N1646" s="41" t="str">
        <f t="shared" ca="1" si="266"/>
        <v/>
      </c>
      <c r="O1646" s="41" t="str">
        <f t="shared" si="267"/>
        <v xml:space="preserve"> </v>
      </c>
      <c r="P1646" s="60">
        <f t="shared" si="268"/>
        <v>0</v>
      </c>
    </row>
    <row r="1647" spans="1:16" ht="15" customHeight="1">
      <c r="A1647" s="28">
        <v>0</v>
      </c>
      <c r="B1647" s="28" t="s">
        <v>1053</v>
      </c>
      <c r="C1647" s="129" t="s">
        <v>1050</v>
      </c>
      <c r="D1647" s="128">
        <v>0</v>
      </c>
      <c r="E1647" s="128" t="s">
        <v>1050</v>
      </c>
      <c r="F1647" s="29" t="s">
        <v>1050</v>
      </c>
      <c r="G1647" s="56" t="str">
        <f t="shared" ca="1" si="244"/>
        <v/>
      </c>
      <c r="H1647" s="28" t="str">
        <f t="shared" ca="1" si="261"/>
        <v/>
      </c>
      <c r="J1647" s="38" t="str">
        <f t="shared" si="262"/>
        <v xml:space="preserve"> </v>
      </c>
      <c r="K1647" s="39">
        <f t="shared" si="263"/>
        <v>0</v>
      </c>
      <c r="L1647" s="39" t="str">
        <f t="shared" si="264"/>
        <v/>
      </c>
      <c r="M1647" s="40" t="str">
        <f t="shared" si="265"/>
        <v xml:space="preserve"> </v>
      </c>
      <c r="N1647" s="41" t="str">
        <f t="shared" ca="1" si="266"/>
        <v/>
      </c>
      <c r="O1647" s="41" t="str">
        <f t="shared" si="267"/>
        <v xml:space="preserve"> </v>
      </c>
      <c r="P1647" s="60">
        <f t="shared" si="268"/>
        <v>0</v>
      </c>
    </row>
    <row r="1648" spans="1:16" ht="15" customHeight="1">
      <c r="A1648" s="28">
        <v>0</v>
      </c>
      <c r="B1648" s="28" t="s">
        <v>1053</v>
      </c>
      <c r="C1648" s="129" t="s">
        <v>1050</v>
      </c>
      <c r="D1648" s="128">
        <v>0</v>
      </c>
      <c r="E1648" s="128" t="s">
        <v>1050</v>
      </c>
      <c r="F1648" s="29" t="s">
        <v>1050</v>
      </c>
      <c r="G1648" s="56" t="str">
        <f t="shared" ca="1" si="244"/>
        <v/>
      </c>
      <c r="H1648" s="28" t="str">
        <f t="shared" ca="1" si="261"/>
        <v/>
      </c>
      <c r="J1648" s="38" t="str">
        <f t="shared" si="262"/>
        <v xml:space="preserve"> </v>
      </c>
      <c r="K1648" s="39">
        <f t="shared" si="263"/>
        <v>0</v>
      </c>
      <c r="L1648" s="39" t="str">
        <f t="shared" si="264"/>
        <v/>
      </c>
      <c r="M1648" s="40" t="str">
        <f t="shared" si="265"/>
        <v xml:space="preserve"> </v>
      </c>
      <c r="N1648" s="41" t="str">
        <f t="shared" ca="1" si="266"/>
        <v/>
      </c>
      <c r="O1648" s="41" t="str">
        <f t="shared" si="267"/>
        <v xml:space="preserve"> </v>
      </c>
      <c r="P1648" s="60">
        <f t="shared" si="268"/>
        <v>0</v>
      </c>
    </row>
    <row r="1649" spans="1:16" ht="15" customHeight="1">
      <c r="A1649" s="28">
        <v>0</v>
      </c>
      <c r="B1649" s="28" t="s">
        <v>1053</v>
      </c>
      <c r="C1649" s="129" t="s">
        <v>1050</v>
      </c>
      <c r="D1649" s="128">
        <v>0</v>
      </c>
      <c r="E1649" s="128" t="s">
        <v>1050</v>
      </c>
      <c r="F1649" s="29" t="s">
        <v>1050</v>
      </c>
      <c r="G1649" s="56" t="str">
        <f t="shared" ca="1" si="244"/>
        <v/>
      </c>
      <c r="H1649" s="28" t="str">
        <f t="shared" ca="1" si="261"/>
        <v/>
      </c>
      <c r="J1649" s="38" t="str">
        <f t="shared" si="262"/>
        <v xml:space="preserve"> </v>
      </c>
      <c r="K1649" s="39">
        <f t="shared" si="263"/>
        <v>0</v>
      </c>
      <c r="L1649" s="39" t="str">
        <f t="shared" si="264"/>
        <v/>
      </c>
      <c r="M1649" s="40" t="str">
        <f t="shared" si="265"/>
        <v xml:space="preserve"> </v>
      </c>
      <c r="N1649" s="41" t="str">
        <f t="shared" ca="1" si="266"/>
        <v/>
      </c>
      <c r="O1649" s="41" t="str">
        <f t="shared" si="267"/>
        <v xml:space="preserve"> </v>
      </c>
      <c r="P1649" s="60">
        <f t="shared" si="268"/>
        <v>0</v>
      </c>
    </row>
    <row r="1650" spans="1:16" ht="15" customHeight="1">
      <c r="A1650" s="28">
        <v>0</v>
      </c>
      <c r="B1650" s="28" t="s">
        <v>1053</v>
      </c>
      <c r="C1650" s="129" t="s">
        <v>1050</v>
      </c>
      <c r="D1650" s="128">
        <v>0</v>
      </c>
      <c r="E1650" s="128" t="s">
        <v>1050</v>
      </c>
      <c r="F1650" s="29" t="s">
        <v>1050</v>
      </c>
      <c r="G1650" s="56" t="str">
        <f t="shared" ca="1" si="244"/>
        <v/>
      </c>
      <c r="H1650" s="28" t="str">
        <f t="shared" ca="1" si="261"/>
        <v/>
      </c>
      <c r="J1650" s="38" t="str">
        <f t="shared" si="262"/>
        <v xml:space="preserve"> </v>
      </c>
      <c r="K1650" s="39">
        <f t="shared" si="263"/>
        <v>0</v>
      </c>
      <c r="L1650" s="39" t="str">
        <f t="shared" si="264"/>
        <v/>
      </c>
      <c r="M1650" s="40" t="str">
        <f t="shared" si="265"/>
        <v xml:space="preserve"> </v>
      </c>
      <c r="N1650" s="41" t="str">
        <f t="shared" ca="1" si="266"/>
        <v/>
      </c>
      <c r="O1650" s="41" t="str">
        <f t="shared" si="267"/>
        <v xml:space="preserve"> </v>
      </c>
      <c r="P1650" s="60">
        <f t="shared" si="268"/>
        <v>0</v>
      </c>
    </row>
    <row r="1651" spans="1:16" ht="15" customHeight="1">
      <c r="A1651" s="28">
        <v>0</v>
      </c>
      <c r="B1651" s="28" t="s">
        <v>1053</v>
      </c>
      <c r="C1651" s="129" t="s">
        <v>1050</v>
      </c>
      <c r="D1651" s="128">
        <v>0</v>
      </c>
      <c r="E1651" s="128" t="s">
        <v>1050</v>
      </c>
      <c r="F1651" s="29" t="s">
        <v>1050</v>
      </c>
      <c r="G1651" s="56" t="str">
        <f t="shared" ca="1" si="244"/>
        <v/>
      </c>
      <c r="H1651" s="28" t="str">
        <f t="shared" ca="1" si="261"/>
        <v/>
      </c>
      <c r="J1651" s="38" t="str">
        <f t="shared" si="262"/>
        <v xml:space="preserve"> </v>
      </c>
      <c r="K1651" s="39">
        <f t="shared" si="263"/>
        <v>0</v>
      </c>
      <c r="L1651" s="39" t="str">
        <f t="shared" si="264"/>
        <v/>
      </c>
      <c r="M1651" s="40" t="str">
        <f t="shared" si="265"/>
        <v xml:space="preserve"> </v>
      </c>
      <c r="N1651" s="41" t="str">
        <f t="shared" ca="1" si="266"/>
        <v/>
      </c>
      <c r="O1651" s="41" t="str">
        <f t="shared" si="267"/>
        <v xml:space="preserve"> </v>
      </c>
      <c r="P1651" s="60">
        <f t="shared" si="268"/>
        <v>0</v>
      </c>
    </row>
    <row r="1652" spans="1:16" ht="15" customHeight="1">
      <c r="A1652" s="28">
        <v>0</v>
      </c>
      <c r="B1652" s="28" t="s">
        <v>1053</v>
      </c>
      <c r="C1652" s="129" t="s">
        <v>1050</v>
      </c>
      <c r="D1652" s="128">
        <v>0</v>
      </c>
      <c r="E1652" s="128" t="s">
        <v>1050</v>
      </c>
      <c r="F1652" s="29" t="s">
        <v>1050</v>
      </c>
      <c r="G1652" s="56" t="str">
        <f t="shared" ca="1" si="244"/>
        <v/>
      </c>
      <c r="H1652" s="28" t="str">
        <f t="shared" ca="1" si="261"/>
        <v/>
      </c>
      <c r="J1652" s="38" t="str">
        <f t="shared" si="262"/>
        <v xml:space="preserve"> </v>
      </c>
      <c r="K1652" s="39">
        <f t="shared" si="263"/>
        <v>0</v>
      </c>
      <c r="L1652" s="39" t="str">
        <f t="shared" si="264"/>
        <v/>
      </c>
      <c r="M1652" s="40" t="str">
        <f t="shared" si="265"/>
        <v xml:space="preserve"> </v>
      </c>
      <c r="N1652" s="41" t="str">
        <f t="shared" ca="1" si="266"/>
        <v/>
      </c>
      <c r="O1652" s="41" t="str">
        <f t="shared" si="267"/>
        <v xml:space="preserve"> </v>
      </c>
      <c r="P1652" s="60">
        <f t="shared" si="268"/>
        <v>0</v>
      </c>
    </row>
    <row r="1653" spans="1:16" ht="15" customHeight="1">
      <c r="A1653" s="28">
        <v>0</v>
      </c>
      <c r="B1653" s="28" t="s">
        <v>1053</v>
      </c>
      <c r="C1653" s="129" t="s">
        <v>1050</v>
      </c>
      <c r="D1653" s="128">
        <v>0</v>
      </c>
      <c r="E1653" s="128" t="s">
        <v>1050</v>
      </c>
      <c r="F1653" s="29" t="s">
        <v>1050</v>
      </c>
      <c r="G1653" s="56" t="str">
        <f t="shared" ca="1" si="244"/>
        <v/>
      </c>
      <c r="H1653" s="28" t="str">
        <f t="shared" ca="1" si="261"/>
        <v/>
      </c>
      <c r="J1653" s="38" t="str">
        <f t="shared" si="262"/>
        <v xml:space="preserve"> </v>
      </c>
      <c r="K1653" s="39">
        <f t="shared" si="263"/>
        <v>0</v>
      </c>
      <c r="L1653" s="39" t="str">
        <f t="shared" si="264"/>
        <v/>
      </c>
      <c r="M1653" s="40" t="str">
        <f t="shared" si="265"/>
        <v xml:space="preserve"> </v>
      </c>
      <c r="N1653" s="41" t="str">
        <f t="shared" ca="1" si="266"/>
        <v/>
      </c>
      <c r="O1653" s="41" t="str">
        <f t="shared" si="267"/>
        <v xml:space="preserve"> </v>
      </c>
      <c r="P1653" s="60">
        <f t="shared" si="268"/>
        <v>0</v>
      </c>
    </row>
    <row r="1654" spans="1:16" ht="15" customHeight="1">
      <c r="A1654" s="28">
        <v>0</v>
      </c>
      <c r="B1654" s="28" t="s">
        <v>1053</v>
      </c>
      <c r="C1654" s="129" t="s">
        <v>1050</v>
      </c>
      <c r="D1654" s="128">
        <v>0</v>
      </c>
      <c r="E1654" s="128" t="s">
        <v>1050</v>
      </c>
      <c r="F1654" s="29" t="s">
        <v>1050</v>
      </c>
      <c r="G1654" s="56" t="str">
        <f t="shared" ca="1" si="244"/>
        <v/>
      </c>
      <c r="H1654" s="28" t="str">
        <f t="shared" ca="1" si="261"/>
        <v/>
      </c>
      <c r="J1654" s="38" t="str">
        <f t="shared" si="262"/>
        <v xml:space="preserve"> </v>
      </c>
      <c r="K1654" s="39">
        <f t="shared" si="263"/>
        <v>0</v>
      </c>
      <c r="L1654" s="39" t="str">
        <f t="shared" si="264"/>
        <v/>
      </c>
      <c r="M1654" s="40" t="str">
        <f t="shared" si="265"/>
        <v xml:space="preserve"> </v>
      </c>
      <c r="N1654" s="41" t="str">
        <f t="shared" ca="1" si="266"/>
        <v/>
      </c>
      <c r="O1654" s="41" t="str">
        <f t="shared" si="267"/>
        <v xml:space="preserve"> </v>
      </c>
      <c r="P1654" s="60">
        <f t="shared" si="268"/>
        <v>0</v>
      </c>
    </row>
    <row r="1655" spans="1:16" ht="15" customHeight="1">
      <c r="A1655" s="28">
        <v>0</v>
      </c>
      <c r="B1655" s="28" t="s">
        <v>1053</v>
      </c>
      <c r="C1655" s="129" t="s">
        <v>1050</v>
      </c>
      <c r="D1655" s="128">
        <v>0</v>
      </c>
      <c r="E1655" s="128" t="s">
        <v>1050</v>
      </c>
      <c r="F1655" s="29" t="s">
        <v>1050</v>
      </c>
      <c r="G1655" s="56" t="str">
        <f t="shared" ca="1" si="244"/>
        <v/>
      </c>
      <c r="H1655" s="28" t="str">
        <f t="shared" ca="1" si="261"/>
        <v/>
      </c>
      <c r="J1655" s="38" t="str">
        <f t="shared" si="262"/>
        <v xml:space="preserve"> </v>
      </c>
      <c r="K1655" s="39">
        <f t="shared" si="263"/>
        <v>0</v>
      </c>
      <c r="L1655" s="39" t="str">
        <f t="shared" si="264"/>
        <v/>
      </c>
      <c r="M1655" s="40" t="str">
        <f t="shared" si="265"/>
        <v xml:space="preserve"> </v>
      </c>
      <c r="N1655" s="41" t="str">
        <f t="shared" ca="1" si="266"/>
        <v/>
      </c>
      <c r="O1655" s="41" t="str">
        <f t="shared" si="267"/>
        <v xml:space="preserve"> </v>
      </c>
      <c r="P1655" s="60">
        <f t="shared" si="268"/>
        <v>0</v>
      </c>
    </row>
    <row r="1656" spans="1:16" ht="15" customHeight="1">
      <c r="A1656" s="28">
        <v>0</v>
      </c>
      <c r="B1656" s="28" t="s">
        <v>1053</v>
      </c>
      <c r="C1656" s="129" t="s">
        <v>1050</v>
      </c>
      <c r="D1656" s="128">
        <v>0</v>
      </c>
      <c r="E1656" s="128" t="s">
        <v>1050</v>
      </c>
      <c r="F1656" s="29" t="s">
        <v>1050</v>
      </c>
      <c r="G1656" s="56" t="str">
        <f t="shared" ca="1" si="244"/>
        <v/>
      </c>
      <c r="H1656" s="28" t="str">
        <f t="shared" ca="1" si="261"/>
        <v/>
      </c>
      <c r="J1656" s="38" t="str">
        <f t="shared" si="262"/>
        <v xml:space="preserve"> </v>
      </c>
      <c r="K1656" s="39">
        <f t="shared" si="263"/>
        <v>0</v>
      </c>
      <c r="L1656" s="39" t="str">
        <f t="shared" si="264"/>
        <v/>
      </c>
      <c r="M1656" s="40" t="str">
        <f t="shared" si="265"/>
        <v xml:space="preserve"> </v>
      </c>
      <c r="N1656" s="41" t="str">
        <f t="shared" ca="1" si="266"/>
        <v/>
      </c>
      <c r="O1656" s="41" t="str">
        <f t="shared" si="267"/>
        <v xml:space="preserve"> </v>
      </c>
      <c r="P1656" s="60">
        <f t="shared" si="268"/>
        <v>0</v>
      </c>
    </row>
    <row r="1657" spans="1:16" ht="15" customHeight="1">
      <c r="A1657" s="28">
        <v>0</v>
      </c>
      <c r="B1657" s="28" t="s">
        <v>1053</v>
      </c>
      <c r="C1657" s="129" t="s">
        <v>1050</v>
      </c>
      <c r="D1657" s="128">
        <v>0</v>
      </c>
      <c r="E1657" s="128" t="s">
        <v>1050</v>
      </c>
      <c r="F1657" s="29" t="s">
        <v>1050</v>
      </c>
      <c r="G1657" s="56" t="str">
        <f t="shared" ca="1" si="244"/>
        <v/>
      </c>
      <c r="H1657" s="28" t="str">
        <f t="shared" ca="1" si="261"/>
        <v/>
      </c>
      <c r="J1657" s="38" t="str">
        <f t="shared" si="262"/>
        <v xml:space="preserve"> </v>
      </c>
      <c r="K1657" s="39">
        <f t="shared" si="263"/>
        <v>0</v>
      </c>
      <c r="L1657" s="39" t="str">
        <f t="shared" si="264"/>
        <v/>
      </c>
      <c r="M1657" s="40" t="str">
        <f t="shared" si="265"/>
        <v xml:space="preserve"> </v>
      </c>
      <c r="N1657" s="41" t="str">
        <f t="shared" ca="1" si="266"/>
        <v/>
      </c>
      <c r="O1657" s="41" t="str">
        <f t="shared" si="267"/>
        <v xml:space="preserve"> </v>
      </c>
      <c r="P1657" s="60">
        <f t="shared" si="268"/>
        <v>0</v>
      </c>
    </row>
    <row r="1658" spans="1:16" ht="15" customHeight="1">
      <c r="A1658" s="28">
        <v>0</v>
      </c>
      <c r="B1658" s="28" t="s">
        <v>1053</v>
      </c>
      <c r="C1658" s="129" t="s">
        <v>1050</v>
      </c>
      <c r="D1658" s="128">
        <v>0</v>
      </c>
      <c r="E1658" s="128" t="s">
        <v>1050</v>
      </c>
      <c r="F1658" s="29" t="s">
        <v>1050</v>
      </c>
      <c r="G1658" s="56" t="str">
        <f t="shared" ca="1" si="244"/>
        <v/>
      </c>
      <c r="H1658" s="28" t="str">
        <f t="shared" ca="1" si="261"/>
        <v/>
      </c>
      <c r="J1658" s="38" t="str">
        <f t="shared" si="262"/>
        <v xml:space="preserve"> </v>
      </c>
      <c r="K1658" s="39">
        <f t="shared" si="263"/>
        <v>0</v>
      </c>
      <c r="L1658" s="39" t="str">
        <f t="shared" si="264"/>
        <v/>
      </c>
      <c r="M1658" s="40" t="str">
        <f t="shared" si="265"/>
        <v xml:space="preserve"> </v>
      </c>
      <c r="N1658" s="41" t="str">
        <f t="shared" ca="1" si="266"/>
        <v/>
      </c>
      <c r="O1658" s="41" t="str">
        <f t="shared" si="267"/>
        <v xml:space="preserve"> </v>
      </c>
      <c r="P1658" s="60">
        <f t="shared" si="268"/>
        <v>0</v>
      </c>
    </row>
    <row r="1659" spans="1:16" ht="15" customHeight="1">
      <c r="A1659" s="28">
        <v>0</v>
      </c>
      <c r="B1659" s="28" t="s">
        <v>1053</v>
      </c>
      <c r="C1659" s="129" t="s">
        <v>1050</v>
      </c>
      <c r="D1659" s="128">
        <v>0</v>
      </c>
      <c r="E1659" s="128" t="s">
        <v>1050</v>
      </c>
      <c r="F1659" s="29" t="s">
        <v>1050</v>
      </c>
      <c r="G1659" s="56" t="str">
        <f t="shared" ca="1" si="244"/>
        <v/>
      </c>
      <c r="H1659" s="28" t="str">
        <f t="shared" ca="1" si="261"/>
        <v/>
      </c>
      <c r="J1659" s="38" t="str">
        <f t="shared" si="262"/>
        <v xml:space="preserve"> </v>
      </c>
      <c r="K1659" s="39">
        <f t="shared" si="263"/>
        <v>0</v>
      </c>
      <c r="L1659" s="39" t="str">
        <f t="shared" si="264"/>
        <v/>
      </c>
      <c r="M1659" s="40" t="str">
        <f t="shared" si="265"/>
        <v xml:space="preserve"> </v>
      </c>
      <c r="N1659" s="41" t="str">
        <f t="shared" ca="1" si="266"/>
        <v/>
      </c>
      <c r="O1659" s="41" t="str">
        <f t="shared" si="267"/>
        <v xml:space="preserve"> </v>
      </c>
      <c r="P1659" s="60">
        <f t="shared" si="268"/>
        <v>0</v>
      </c>
    </row>
    <row r="1660" spans="1:16" ht="15" customHeight="1">
      <c r="A1660" s="28">
        <v>0</v>
      </c>
      <c r="B1660" s="28" t="s">
        <v>1053</v>
      </c>
      <c r="C1660" s="129" t="s">
        <v>1050</v>
      </c>
      <c r="D1660" s="128">
        <v>0</v>
      </c>
      <c r="E1660" s="128" t="s">
        <v>1050</v>
      </c>
      <c r="F1660" s="29" t="s">
        <v>1050</v>
      </c>
      <c r="G1660" s="56" t="str">
        <f t="shared" ca="1" si="244"/>
        <v/>
      </c>
      <c r="H1660" s="28" t="str">
        <f t="shared" ca="1" si="261"/>
        <v/>
      </c>
      <c r="J1660" s="38" t="str">
        <f t="shared" si="262"/>
        <v xml:space="preserve"> </v>
      </c>
      <c r="K1660" s="39">
        <f t="shared" si="263"/>
        <v>0</v>
      </c>
      <c r="L1660" s="39" t="str">
        <f t="shared" si="264"/>
        <v/>
      </c>
      <c r="M1660" s="40" t="str">
        <f t="shared" si="265"/>
        <v xml:space="preserve"> </v>
      </c>
      <c r="N1660" s="41" t="str">
        <f t="shared" ca="1" si="266"/>
        <v/>
      </c>
      <c r="O1660" s="41" t="str">
        <f t="shared" si="267"/>
        <v xml:space="preserve"> </v>
      </c>
      <c r="P1660" s="60">
        <f t="shared" si="268"/>
        <v>0</v>
      </c>
    </row>
    <row r="1661" spans="1:16" ht="15" customHeight="1">
      <c r="A1661" s="28">
        <v>0</v>
      </c>
      <c r="B1661" s="28" t="s">
        <v>1053</v>
      </c>
      <c r="C1661" s="129" t="s">
        <v>1050</v>
      </c>
      <c r="D1661" s="128">
        <v>0</v>
      </c>
      <c r="E1661" s="128" t="s">
        <v>1050</v>
      </c>
      <c r="F1661" s="29" t="s">
        <v>1050</v>
      </c>
      <c r="G1661" s="56" t="str">
        <f t="shared" ca="1" si="244"/>
        <v/>
      </c>
      <c r="H1661" s="28" t="str">
        <f t="shared" ca="1" si="261"/>
        <v/>
      </c>
      <c r="J1661" s="38" t="str">
        <f t="shared" si="262"/>
        <v xml:space="preserve"> </v>
      </c>
      <c r="K1661" s="39">
        <f t="shared" si="263"/>
        <v>0</v>
      </c>
      <c r="L1661" s="39" t="str">
        <f t="shared" si="264"/>
        <v/>
      </c>
      <c r="M1661" s="40" t="str">
        <f t="shared" si="265"/>
        <v xml:space="preserve"> </v>
      </c>
      <c r="N1661" s="41" t="str">
        <f t="shared" ca="1" si="266"/>
        <v/>
      </c>
      <c r="O1661" s="41" t="str">
        <f t="shared" si="267"/>
        <v xml:space="preserve"> </v>
      </c>
      <c r="P1661" s="60">
        <f t="shared" si="268"/>
        <v>0</v>
      </c>
    </row>
    <row r="1662" spans="1:16" ht="15" customHeight="1">
      <c r="A1662" s="28">
        <v>0</v>
      </c>
      <c r="B1662" s="28" t="s">
        <v>1053</v>
      </c>
      <c r="C1662" s="129" t="s">
        <v>1050</v>
      </c>
      <c r="D1662" s="128">
        <v>0</v>
      </c>
      <c r="E1662" s="128" t="s">
        <v>1050</v>
      </c>
      <c r="F1662" s="29" t="s">
        <v>1050</v>
      </c>
      <c r="G1662" s="56" t="str">
        <f t="shared" ca="1" si="244"/>
        <v/>
      </c>
      <c r="H1662" s="28" t="str">
        <f t="shared" ca="1" si="261"/>
        <v/>
      </c>
      <c r="J1662" s="38" t="str">
        <f t="shared" si="262"/>
        <v xml:space="preserve"> </v>
      </c>
      <c r="K1662" s="39">
        <f t="shared" si="263"/>
        <v>0</v>
      </c>
      <c r="L1662" s="39" t="str">
        <f t="shared" si="264"/>
        <v/>
      </c>
      <c r="M1662" s="40" t="str">
        <f t="shared" si="265"/>
        <v xml:space="preserve"> </v>
      </c>
      <c r="N1662" s="41" t="str">
        <f t="shared" ca="1" si="266"/>
        <v/>
      </c>
      <c r="O1662" s="41" t="str">
        <f t="shared" si="267"/>
        <v xml:space="preserve"> </v>
      </c>
      <c r="P1662" s="60">
        <f t="shared" si="268"/>
        <v>0</v>
      </c>
    </row>
    <row r="1663" spans="1:16" ht="15" customHeight="1">
      <c r="A1663" s="28">
        <v>0</v>
      </c>
      <c r="B1663" s="28" t="s">
        <v>1053</v>
      </c>
      <c r="C1663" s="129" t="s">
        <v>1050</v>
      </c>
      <c r="D1663" s="128">
        <v>0</v>
      </c>
      <c r="E1663" s="128" t="s">
        <v>1050</v>
      </c>
      <c r="F1663" s="29" t="s">
        <v>1050</v>
      </c>
      <c r="G1663" s="56" t="str">
        <f t="shared" ca="1" si="244"/>
        <v/>
      </c>
      <c r="H1663" s="28" t="str">
        <f t="shared" ca="1" si="261"/>
        <v/>
      </c>
      <c r="J1663" s="38" t="str">
        <f t="shared" si="262"/>
        <v xml:space="preserve"> </v>
      </c>
      <c r="K1663" s="39">
        <f t="shared" si="263"/>
        <v>0</v>
      </c>
      <c r="L1663" s="39" t="str">
        <f t="shared" si="264"/>
        <v/>
      </c>
      <c r="M1663" s="40" t="str">
        <f t="shared" si="265"/>
        <v xml:space="preserve"> </v>
      </c>
      <c r="N1663" s="41" t="str">
        <f t="shared" ca="1" si="266"/>
        <v/>
      </c>
      <c r="O1663" s="41" t="str">
        <f t="shared" si="267"/>
        <v xml:space="preserve"> </v>
      </c>
      <c r="P1663" s="60">
        <f t="shared" si="268"/>
        <v>0</v>
      </c>
    </row>
    <row r="1664" spans="1:16" ht="15" customHeight="1">
      <c r="A1664" s="28">
        <v>0</v>
      </c>
      <c r="B1664" s="28" t="s">
        <v>1053</v>
      </c>
      <c r="C1664" s="129" t="s">
        <v>1050</v>
      </c>
      <c r="D1664" s="128">
        <v>0</v>
      </c>
      <c r="E1664" s="128" t="s">
        <v>1050</v>
      </c>
      <c r="F1664" s="29" t="s">
        <v>1050</v>
      </c>
      <c r="G1664" s="56" t="str">
        <f t="shared" ca="1" si="244"/>
        <v/>
      </c>
      <c r="H1664" s="28" t="str">
        <f t="shared" ca="1" si="261"/>
        <v/>
      </c>
      <c r="J1664" s="38" t="str">
        <f t="shared" si="262"/>
        <v xml:space="preserve"> </v>
      </c>
      <c r="K1664" s="39">
        <f t="shared" si="263"/>
        <v>0</v>
      </c>
      <c r="L1664" s="39" t="str">
        <f t="shared" si="264"/>
        <v/>
      </c>
      <c r="M1664" s="40" t="str">
        <f t="shared" si="265"/>
        <v xml:space="preserve"> </v>
      </c>
      <c r="N1664" s="41" t="str">
        <f t="shared" ca="1" si="266"/>
        <v/>
      </c>
      <c r="O1664" s="41" t="str">
        <f t="shared" si="267"/>
        <v xml:space="preserve"> </v>
      </c>
      <c r="P1664" s="60">
        <f t="shared" si="268"/>
        <v>0</v>
      </c>
    </row>
    <row r="1665" spans="1:16" ht="15" customHeight="1">
      <c r="A1665" s="28">
        <v>0</v>
      </c>
      <c r="B1665" s="28" t="s">
        <v>1053</v>
      </c>
      <c r="C1665" s="129" t="s">
        <v>1050</v>
      </c>
      <c r="D1665" s="128">
        <v>0</v>
      </c>
      <c r="E1665" s="128" t="s">
        <v>1050</v>
      </c>
      <c r="F1665" s="29" t="s">
        <v>1050</v>
      </c>
      <c r="G1665" s="56" t="str">
        <f t="shared" ca="1" si="244"/>
        <v/>
      </c>
      <c r="H1665" s="28" t="str">
        <f t="shared" ca="1" si="261"/>
        <v/>
      </c>
      <c r="J1665" s="38" t="str">
        <f t="shared" si="262"/>
        <v xml:space="preserve"> </v>
      </c>
      <c r="K1665" s="39">
        <f t="shared" si="263"/>
        <v>0</v>
      </c>
      <c r="L1665" s="39" t="str">
        <f t="shared" si="264"/>
        <v/>
      </c>
      <c r="M1665" s="40" t="str">
        <f t="shared" si="265"/>
        <v xml:space="preserve"> </v>
      </c>
      <c r="N1665" s="41" t="str">
        <f t="shared" ca="1" si="266"/>
        <v/>
      </c>
      <c r="O1665" s="41" t="str">
        <f t="shared" si="267"/>
        <v xml:space="preserve"> </v>
      </c>
      <c r="P1665" s="60">
        <f t="shared" si="268"/>
        <v>0</v>
      </c>
    </row>
    <row r="1666" spans="1:16" ht="15" customHeight="1">
      <c r="A1666" s="28">
        <v>0</v>
      </c>
      <c r="B1666" s="28" t="s">
        <v>1053</v>
      </c>
      <c r="C1666" s="129" t="s">
        <v>1050</v>
      </c>
      <c r="D1666" s="128">
        <v>0</v>
      </c>
      <c r="E1666" s="128" t="s">
        <v>1050</v>
      </c>
      <c r="F1666" s="29" t="s">
        <v>1050</v>
      </c>
      <c r="G1666" s="56" t="str">
        <f t="shared" ca="1" si="244"/>
        <v/>
      </c>
      <c r="H1666" s="28" t="str">
        <f t="shared" ca="1" si="261"/>
        <v/>
      </c>
      <c r="J1666" s="38" t="str">
        <f t="shared" si="262"/>
        <v xml:space="preserve"> </v>
      </c>
      <c r="K1666" s="39">
        <f t="shared" si="263"/>
        <v>0</v>
      </c>
      <c r="L1666" s="39" t="str">
        <f t="shared" si="264"/>
        <v/>
      </c>
      <c r="M1666" s="40" t="str">
        <f t="shared" si="265"/>
        <v xml:space="preserve"> </v>
      </c>
      <c r="N1666" s="41" t="str">
        <f t="shared" ca="1" si="266"/>
        <v/>
      </c>
      <c r="O1666" s="41" t="str">
        <f t="shared" si="267"/>
        <v xml:space="preserve"> </v>
      </c>
      <c r="P1666" s="60">
        <f t="shared" si="268"/>
        <v>0</v>
      </c>
    </row>
    <row r="1667" spans="1:16" ht="15" customHeight="1">
      <c r="A1667" s="28">
        <v>0</v>
      </c>
      <c r="B1667" s="28" t="s">
        <v>1053</v>
      </c>
      <c r="C1667" s="129" t="s">
        <v>1050</v>
      </c>
      <c r="D1667" s="128">
        <v>0</v>
      </c>
      <c r="E1667" s="128" t="s">
        <v>1050</v>
      </c>
      <c r="F1667" s="29" t="s">
        <v>1050</v>
      </c>
      <c r="G1667" s="56" t="str">
        <f t="shared" ref="G1667:G1730" ca="1" si="269">IFERROR(IF(YEAR(TODAY())-YEAR(F1667)&lt;7," ",IF(YEAR(TODAY())-YEAR(F1667)&lt;10,"Benjamim A",IF(YEAR(TODAY())-YEAR(F1667)&lt;12,"Benjamim B",IF(YEAR(TODAY())-YEAR(F1667)&lt;14,"Infantil",IF(YEAR(TODAY())-YEAR(F1667)&lt;16,"Iniciado",IF(YEAR(TODAY())-YEAR(F1667)&lt;18,"Juvenil",IF(YEAR(TODAY())-YEAR(F1667)&lt;20,"Júnior",IF(YEAR(TODAY())-YEAR(F1667)&lt;23,"sub 23",IF(ROUNDDOWN(INT(TODAY()-F1667)/365.25,0)&lt;35,"Sénior",IF(ROUNDDOWN(INT(TODAY()-F1667)/365.25,0)&lt;40,"V 35",IF(ROUNDDOWN(INT(TODAY()-F1667)/365.25,0)&lt;45,"V 40",IF(ROUNDDOWN(INT(TODAY()-F1667)/365.25,0)&lt;50,"V 45",IF(ROUNDDOWN(INT(TODAY()-F1667)/365.25,0)&lt;55,"V 50",IF(ROUNDDOWN(INT(TODAY()-F1667)/365.25,0)&lt;60,"V 55",IF(ROUNDDOWN(INT(TODAY()-F1667)/365.25,0)&lt;65,"V 60",IF(ROUNDDOWN(INT(TODAY()-F1667)/365.25,0)&lt;70,"V 65",IF(ROUNDDOWN(INT(TODAY()-F1667)/365.25,0)&lt;75,"V 70",IF(ROUNDDOWN(INT(TODAY()-F1667)/365.25,0)&lt;80,"V 75",IF(ROUNDDOWN(INT(TODAY()-F1667)/365.25,0)&lt;85,"V 80",IF(ROUNDDOWN(INT(TODAY()-F1667)/365.25,0)&lt;90,"V 85",IF(ROUNDDOWN(INT(TODAY()-F1667)/365.25,0)&lt;95,"V 90",IF(ROUNDDOWN(INT(TODAY()-F1667)/365.25,0)&lt;100,"V 95",IF(ROUNDDOWN(INT(TODAY()-F1667)/365.25,0)&gt;=100,"V 100",""))))))))))))))))))))))),"")</f>
        <v/>
      </c>
      <c r="H1667" s="28" t="str">
        <f t="shared" ca="1" si="261"/>
        <v/>
      </c>
      <c r="J1667" s="38" t="str">
        <f t="shared" si="262"/>
        <v xml:space="preserve"> </v>
      </c>
      <c r="K1667" s="39">
        <f t="shared" si="263"/>
        <v>0</v>
      </c>
      <c r="L1667" s="39" t="str">
        <f t="shared" si="264"/>
        <v/>
      </c>
      <c r="M1667" s="40" t="str">
        <f t="shared" si="265"/>
        <v xml:space="preserve"> </v>
      </c>
      <c r="N1667" s="41" t="str">
        <f t="shared" ca="1" si="266"/>
        <v/>
      </c>
      <c r="O1667" s="41" t="str">
        <f t="shared" si="267"/>
        <v xml:space="preserve"> </v>
      </c>
      <c r="P1667" s="60">
        <f t="shared" si="268"/>
        <v>0</v>
      </c>
    </row>
    <row r="1668" spans="1:16" ht="15" customHeight="1">
      <c r="A1668" s="28">
        <v>0</v>
      </c>
      <c r="B1668" s="28" t="s">
        <v>1053</v>
      </c>
      <c r="C1668" s="129" t="s">
        <v>1050</v>
      </c>
      <c r="D1668" s="128">
        <v>0</v>
      </c>
      <c r="E1668" s="128" t="s">
        <v>1050</v>
      </c>
      <c r="F1668" s="29" t="s">
        <v>1050</v>
      </c>
      <c r="G1668" s="56" t="str">
        <f t="shared" ca="1" si="269"/>
        <v/>
      </c>
      <c r="H1668" s="28" t="str">
        <f t="shared" ca="1" si="261"/>
        <v/>
      </c>
      <c r="J1668" s="38" t="str">
        <f t="shared" si="262"/>
        <v xml:space="preserve"> </v>
      </c>
      <c r="K1668" s="39">
        <f t="shared" si="263"/>
        <v>0</v>
      </c>
      <c r="L1668" s="39" t="str">
        <f t="shared" si="264"/>
        <v/>
      </c>
      <c r="M1668" s="40" t="str">
        <f t="shared" si="265"/>
        <v xml:space="preserve"> </v>
      </c>
      <c r="N1668" s="41" t="str">
        <f t="shared" ca="1" si="266"/>
        <v/>
      </c>
      <c r="O1668" s="41" t="str">
        <f t="shared" si="267"/>
        <v xml:space="preserve"> </v>
      </c>
      <c r="P1668" s="60">
        <f t="shared" si="268"/>
        <v>0</v>
      </c>
    </row>
    <row r="1669" spans="1:16" ht="15" customHeight="1">
      <c r="A1669" s="28">
        <v>0</v>
      </c>
      <c r="B1669" s="28" t="s">
        <v>1053</v>
      </c>
      <c r="C1669" s="129" t="s">
        <v>1050</v>
      </c>
      <c r="D1669" s="128">
        <v>0</v>
      </c>
      <c r="E1669" s="128" t="s">
        <v>1050</v>
      </c>
      <c r="F1669" s="29" t="s">
        <v>1050</v>
      </c>
      <c r="G1669" s="56" t="str">
        <f t="shared" ca="1" si="269"/>
        <v/>
      </c>
      <c r="H1669" s="28" t="str">
        <f t="shared" ca="1" si="261"/>
        <v/>
      </c>
      <c r="J1669" s="38" t="str">
        <f t="shared" si="262"/>
        <v xml:space="preserve"> </v>
      </c>
      <c r="K1669" s="39">
        <f t="shared" si="263"/>
        <v>0</v>
      </c>
      <c r="L1669" s="39" t="str">
        <f t="shared" si="264"/>
        <v/>
      </c>
      <c r="M1669" s="40" t="str">
        <f t="shared" si="265"/>
        <v xml:space="preserve"> </v>
      </c>
      <c r="N1669" s="41" t="str">
        <f t="shared" ca="1" si="266"/>
        <v/>
      </c>
      <c r="O1669" s="41" t="str">
        <f t="shared" si="267"/>
        <v xml:space="preserve"> </v>
      </c>
      <c r="P1669" s="60">
        <f t="shared" si="268"/>
        <v>0</v>
      </c>
    </row>
    <row r="1670" spans="1:16" ht="15" customHeight="1">
      <c r="A1670" s="28">
        <v>0</v>
      </c>
      <c r="B1670" s="28" t="s">
        <v>1053</v>
      </c>
      <c r="C1670" s="129" t="s">
        <v>1050</v>
      </c>
      <c r="D1670" s="128">
        <v>0</v>
      </c>
      <c r="E1670" s="128" t="s">
        <v>1050</v>
      </c>
      <c r="F1670" s="29" t="s">
        <v>1050</v>
      </c>
      <c r="G1670" s="56" t="str">
        <f t="shared" ca="1" si="269"/>
        <v/>
      </c>
      <c r="H1670" s="28" t="str">
        <f t="shared" ca="1" si="261"/>
        <v/>
      </c>
      <c r="J1670" s="38" t="str">
        <f t="shared" si="262"/>
        <v xml:space="preserve"> </v>
      </c>
      <c r="K1670" s="39">
        <f t="shared" si="263"/>
        <v>0</v>
      </c>
      <c r="L1670" s="39" t="str">
        <f t="shared" si="264"/>
        <v/>
      </c>
      <c r="M1670" s="40" t="str">
        <f t="shared" si="265"/>
        <v xml:space="preserve"> </v>
      </c>
      <c r="N1670" s="41" t="str">
        <f t="shared" ca="1" si="266"/>
        <v/>
      </c>
      <c r="O1670" s="41" t="str">
        <f t="shared" si="267"/>
        <v xml:space="preserve"> </v>
      </c>
      <c r="P1670" s="60">
        <f t="shared" si="268"/>
        <v>0</v>
      </c>
    </row>
    <row r="1671" spans="1:16" ht="15" customHeight="1">
      <c r="A1671" s="28">
        <v>0</v>
      </c>
      <c r="B1671" s="28" t="s">
        <v>1053</v>
      </c>
      <c r="C1671" s="129" t="s">
        <v>1050</v>
      </c>
      <c r="D1671" s="128">
        <v>0</v>
      </c>
      <c r="E1671" s="128" t="s">
        <v>1050</v>
      </c>
      <c r="F1671" s="29" t="s">
        <v>1050</v>
      </c>
      <c r="G1671" s="56" t="str">
        <f t="shared" ca="1" si="269"/>
        <v/>
      </c>
      <c r="H1671" s="28" t="str">
        <f t="shared" ca="1" si="261"/>
        <v/>
      </c>
      <c r="J1671" s="38" t="str">
        <f t="shared" si="262"/>
        <v xml:space="preserve"> </v>
      </c>
      <c r="K1671" s="39">
        <f t="shared" si="263"/>
        <v>0</v>
      </c>
      <c r="L1671" s="39" t="str">
        <f t="shared" si="264"/>
        <v/>
      </c>
      <c r="M1671" s="40" t="str">
        <f t="shared" si="265"/>
        <v xml:space="preserve"> </v>
      </c>
      <c r="N1671" s="41" t="str">
        <f t="shared" ca="1" si="266"/>
        <v/>
      </c>
      <c r="O1671" s="41" t="str">
        <f t="shared" si="267"/>
        <v xml:space="preserve"> </v>
      </c>
      <c r="P1671" s="60">
        <f t="shared" si="268"/>
        <v>0</v>
      </c>
    </row>
    <row r="1672" spans="1:16" ht="15" customHeight="1">
      <c r="A1672" s="28">
        <v>0</v>
      </c>
      <c r="B1672" s="28" t="s">
        <v>1053</v>
      </c>
      <c r="C1672" s="129" t="s">
        <v>1050</v>
      </c>
      <c r="D1672" s="128">
        <v>0</v>
      </c>
      <c r="E1672" s="128" t="s">
        <v>1050</v>
      </c>
      <c r="F1672" s="29" t="s">
        <v>1050</v>
      </c>
      <c r="G1672" s="56" t="str">
        <f t="shared" ca="1" si="269"/>
        <v/>
      </c>
      <c r="H1672" s="28" t="str">
        <f t="shared" ca="1" si="261"/>
        <v/>
      </c>
      <c r="J1672" s="38" t="str">
        <f t="shared" si="262"/>
        <v xml:space="preserve"> </v>
      </c>
      <c r="K1672" s="39">
        <f t="shared" si="263"/>
        <v>0</v>
      </c>
      <c r="L1672" s="39" t="str">
        <f t="shared" si="264"/>
        <v/>
      </c>
      <c r="M1672" s="40" t="str">
        <f t="shared" si="265"/>
        <v xml:space="preserve"> </v>
      </c>
      <c r="N1672" s="41" t="str">
        <f t="shared" ca="1" si="266"/>
        <v/>
      </c>
      <c r="O1672" s="41" t="str">
        <f t="shared" si="267"/>
        <v xml:space="preserve"> </v>
      </c>
      <c r="P1672" s="60">
        <f t="shared" si="268"/>
        <v>0</v>
      </c>
    </row>
    <row r="1673" spans="1:16" ht="15" customHeight="1">
      <c r="A1673" s="28">
        <v>0</v>
      </c>
      <c r="B1673" s="28" t="s">
        <v>1053</v>
      </c>
      <c r="C1673" s="129" t="s">
        <v>1050</v>
      </c>
      <c r="D1673" s="128">
        <v>0</v>
      </c>
      <c r="E1673" s="128" t="s">
        <v>1050</v>
      </c>
      <c r="F1673" s="29" t="s">
        <v>1050</v>
      </c>
      <c r="G1673" s="56" t="str">
        <f t="shared" ca="1" si="269"/>
        <v/>
      </c>
      <c r="H1673" s="28" t="str">
        <f t="shared" ca="1" si="261"/>
        <v/>
      </c>
      <c r="J1673" s="38" t="str">
        <f t="shared" si="262"/>
        <v xml:space="preserve"> </v>
      </c>
      <c r="K1673" s="39">
        <f t="shared" si="263"/>
        <v>0</v>
      </c>
      <c r="L1673" s="39" t="str">
        <f t="shared" si="264"/>
        <v/>
      </c>
      <c r="M1673" s="40" t="str">
        <f t="shared" si="265"/>
        <v xml:space="preserve"> </v>
      </c>
      <c r="N1673" s="41" t="str">
        <f t="shared" ca="1" si="266"/>
        <v/>
      </c>
      <c r="O1673" s="41" t="str">
        <f t="shared" si="267"/>
        <v xml:space="preserve"> </v>
      </c>
      <c r="P1673" s="60">
        <f t="shared" si="268"/>
        <v>0</v>
      </c>
    </row>
    <row r="1674" spans="1:16" ht="15" customHeight="1">
      <c r="A1674" s="28">
        <v>0</v>
      </c>
      <c r="B1674" s="28" t="s">
        <v>1053</v>
      </c>
      <c r="C1674" s="129" t="s">
        <v>1050</v>
      </c>
      <c r="D1674" s="128">
        <v>0</v>
      </c>
      <c r="E1674" s="128" t="s">
        <v>1050</v>
      </c>
      <c r="F1674" s="29" t="s">
        <v>1050</v>
      </c>
      <c r="G1674" s="56" t="str">
        <f t="shared" ca="1" si="269"/>
        <v/>
      </c>
      <c r="H1674" s="28" t="str">
        <f t="shared" ca="1" si="261"/>
        <v/>
      </c>
      <c r="J1674" s="38" t="str">
        <f t="shared" si="262"/>
        <v xml:space="preserve"> </v>
      </c>
      <c r="K1674" s="39">
        <f t="shared" si="263"/>
        <v>0</v>
      </c>
      <c r="L1674" s="39" t="str">
        <f t="shared" si="264"/>
        <v/>
      </c>
      <c r="M1674" s="40" t="str">
        <f t="shared" si="265"/>
        <v xml:space="preserve"> </v>
      </c>
      <c r="N1674" s="41" t="str">
        <f t="shared" ca="1" si="266"/>
        <v/>
      </c>
      <c r="O1674" s="41" t="str">
        <f t="shared" si="267"/>
        <v xml:space="preserve"> </v>
      </c>
      <c r="P1674" s="60">
        <f t="shared" si="268"/>
        <v>0</v>
      </c>
    </row>
    <row r="1675" spans="1:16" ht="15" customHeight="1">
      <c r="A1675" s="28">
        <v>0</v>
      </c>
      <c r="B1675" s="28" t="s">
        <v>1053</v>
      </c>
      <c r="C1675" s="129" t="s">
        <v>1050</v>
      </c>
      <c r="D1675" s="128">
        <v>0</v>
      </c>
      <c r="E1675" s="128" t="s">
        <v>1050</v>
      </c>
      <c r="F1675" s="29" t="s">
        <v>1050</v>
      </c>
      <c r="G1675" s="56" t="str">
        <f t="shared" ca="1" si="269"/>
        <v/>
      </c>
      <c r="H1675" s="28" t="str">
        <f t="shared" ca="1" si="261"/>
        <v/>
      </c>
      <c r="J1675" s="38" t="str">
        <f t="shared" si="262"/>
        <v xml:space="preserve"> </v>
      </c>
      <c r="K1675" s="39">
        <f t="shared" si="263"/>
        <v>0</v>
      </c>
      <c r="L1675" s="39" t="str">
        <f t="shared" si="264"/>
        <v/>
      </c>
      <c r="M1675" s="40" t="str">
        <f t="shared" si="265"/>
        <v xml:space="preserve"> </v>
      </c>
      <c r="N1675" s="41" t="str">
        <f t="shared" ca="1" si="266"/>
        <v/>
      </c>
      <c r="O1675" s="41" t="str">
        <f t="shared" si="267"/>
        <v xml:space="preserve"> </v>
      </c>
      <c r="P1675" s="60">
        <f t="shared" si="268"/>
        <v>0</v>
      </c>
    </row>
    <row r="1676" spans="1:16" ht="15" customHeight="1">
      <c r="A1676" s="28">
        <v>0</v>
      </c>
      <c r="B1676" s="28" t="s">
        <v>1053</v>
      </c>
      <c r="C1676" s="129" t="s">
        <v>1050</v>
      </c>
      <c r="D1676" s="128">
        <v>0</v>
      </c>
      <c r="E1676" s="128" t="s">
        <v>1050</v>
      </c>
      <c r="F1676" s="29" t="s">
        <v>1050</v>
      </c>
      <c r="G1676" s="56" t="str">
        <f t="shared" ca="1" si="269"/>
        <v/>
      </c>
      <c r="H1676" s="28" t="str">
        <f t="shared" ca="1" si="261"/>
        <v/>
      </c>
      <c r="J1676" s="38" t="str">
        <f t="shared" si="262"/>
        <v xml:space="preserve"> </v>
      </c>
      <c r="K1676" s="39">
        <f t="shared" si="263"/>
        <v>0</v>
      </c>
      <c r="L1676" s="39" t="str">
        <f t="shared" si="264"/>
        <v/>
      </c>
      <c r="M1676" s="40" t="str">
        <f t="shared" si="265"/>
        <v xml:space="preserve"> </v>
      </c>
      <c r="N1676" s="41" t="str">
        <f t="shared" ca="1" si="266"/>
        <v/>
      </c>
      <c r="O1676" s="41" t="str">
        <f t="shared" si="267"/>
        <v xml:space="preserve"> </v>
      </c>
      <c r="P1676" s="60">
        <f t="shared" si="268"/>
        <v>0</v>
      </c>
    </row>
    <row r="1677" spans="1:16" ht="15" customHeight="1">
      <c r="A1677" s="28">
        <v>0</v>
      </c>
      <c r="B1677" s="28" t="s">
        <v>1053</v>
      </c>
      <c r="C1677" s="129" t="s">
        <v>1050</v>
      </c>
      <c r="D1677" s="128">
        <v>0</v>
      </c>
      <c r="E1677" s="128" t="s">
        <v>1050</v>
      </c>
      <c r="F1677" s="29" t="s">
        <v>1050</v>
      </c>
      <c r="G1677" s="56" t="str">
        <f t="shared" ca="1" si="269"/>
        <v/>
      </c>
      <c r="H1677" s="28" t="str">
        <f t="shared" ca="1" si="261"/>
        <v/>
      </c>
      <c r="J1677" s="38" t="str">
        <f t="shared" si="262"/>
        <v xml:space="preserve"> </v>
      </c>
      <c r="K1677" s="39">
        <f t="shared" si="263"/>
        <v>0</v>
      </c>
      <c r="L1677" s="39" t="str">
        <f t="shared" si="264"/>
        <v/>
      </c>
      <c r="M1677" s="40" t="str">
        <f t="shared" si="265"/>
        <v xml:space="preserve"> </v>
      </c>
      <c r="N1677" s="41" t="str">
        <f t="shared" ca="1" si="266"/>
        <v/>
      </c>
      <c r="O1677" s="41" t="str">
        <f t="shared" si="267"/>
        <v xml:space="preserve"> </v>
      </c>
      <c r="P1677" s="60">
        <f t="shared" si="268"/>
        <v>0</v>
      </c>
    </row>
    <row r="1678" spans="1:16" ht="15" customHeight="1">
      <c r="A1678" s="28">
        <v>0</v>
      </c>
      <c r="B1678" s="28" t="s">
        <v>1053</v>
      </c>
      <c r="C1678" s="129" t="s">
        <v>1050</v>
      </c>
      <c r="D1678" s="128">
        <v>0</v>
      </c>
      <c r="E1678" s="128" t="s">
        <v>1050</v>
      </c>
      <c r="F1678" s="29" t="s">
        <v>1050</v>
      </c>
      <c r="G1678" s="56" t="str">
        <f t="shared" ca="1" si="269"/>
        <v/>
      </c>
      <c r="H1678" s="28" t="str">
        <f t="shared" ca="1" si="261"/>
        <v/>
      </c>
      <c r="J1678" s="38" t="str">
        <f t="shared" si="262"/>
        <v xml:space="preserve"> </v>
      </c>
      <c r="K1678" s="39">
        <f t="shared" si="263"/>
        <v>0</v>
      </c>
      <c r="L1678" s="39" t="str">
        <f t="shared" si="264"/>
        <v/>
      </c>
      <c r="M1678" s="40" t="str">
        <f t="shared" si="265"/>
        <v xml:space="preserve"> </v>
      </c>
      <c r="N1678" s="41" t="str">
        <f t="shared" ca="1" si="266"/>
        <v/>
      </c>
      <c r="O1678" s="41" t="str">
        <f t="shared" si="267"/>
        <v xml:space="preserve"> </v>
      </c>
      <c r="P1678" s="60">
        <f t="shared" si="268"/>
        <v>0</v>
      </c>
    </row>
    <row r="1679" spans="1:16" ht="15" customHeight="1">
      <c r="A1679" s="28">
        <v>0</v>
      </c>
      <c r="B1679" s="28" t="s">
        <v>1053</v>
      </c>
      <c r="C1679" s="129" t="s">
        <v>1050</v>
      </c>
      <c r="D1679" s="128">
        <v>0</v>
      </c>
      <c r="E1679" s="128" t="s">
        <v>1050</v>
      </c>
      <c r="F1679" s="29" t="s">
        <v>1050</v>
      </c>
      <c r="G1679" s="56" t="str">
        <f t="shared" ca="1" si="269"/>
        <v/>
      </c>
      <c r="H1679" s="28" t="str">
        <f t="shared" ca="1" si="261"/>
        <v/>
      </c>
      <c r="J1679" s="38" t="str">
        <f t="shared" si="262"/>
        <v xml:space="preserve"> </v>
      </c>
      <c r="K1679" s="39">
        <f t="shared" si="263"/>
        <v>0</v>
      </c>
      <c r="L1679" s="39" t="str">
        <f t="shared" si="264"/>
        <v/>
      </c>
      <c r="M1679" s="40" t="str">
        <f t="shared" si="265"/>
        <v xml:space="preserve"> </v>
      </c>
      <c r="N1679" s="41" t="str">
        <f t="shared" ca="1" si="266"/>
        <v/>
      </c>
      <c r="O1679" s="41" t="str">
        <f t="shared" si="267"/>
        <v xml:space="preserve"> </v>
      </c>
      <c r="P1679" s="60">
        <f t="shared" si="268"/>
        <v>0</v>
      </c>
    </row>
    <row r="1680" spans="1:16" ht="15" customHeight="1">
      <c r="A1680" s="28">
        <v>0</v>
      </c>
      <c r="B1680" s="28" t="s">
        <v>1053</v>
      </c>
      <c r="C1680" s="129" t="s">
        <v>1050</v>
      </c>
      <c r="D1680" s="128">
        <v>0</v>
      </c>
      <c r="E1680" s="128" t="s">
        <v>1050</v>
      </c>
      <c r="F1680" s="29" t="s">
        <v>1050</v>
      </c>
      <c r="G1680" s="56" t="str">
        <f t="shared" ca="1" si="269"/>
        <v/>
      </c>
      <c r="H1680" s="28" t="str">
        <f t="shared" ca="1" si="261"/>
        <v/>
      </c>
      <c r="J1680" s="38" t="str">
        <f t="shared" si="262"/>
        <v xml:space="preserve"> </v>
      </c>
      <c r="K1680" s="39">
        <f t="shared" si="263"/>
        <v>0</v>
      </c>
      <c r="L1680" s="39" t="str">
        <f t="shared" si="264"/>
        <v/>
      </c>
      <c r="M1680" s="40" t="str">
        <f t="shared" si="265"/>
        <v xml:space="preserve"> </v>
      </c>
      <c r="N1680" s="41" t="str">
        <f t="shared" ca="1" si="266"/>
        <v/>
      </c>
      <c r="O1680" s="41" t="str">
        <f t="shared" si="267"/>
        <v xml:space="preserve"> </v>
      </c>
      <c r="P1680" s="60">
        <f t="shared" si="268"/>
        <v>0</v>
      </c>
    </row>
    <row r="1681" spans="1:16" ht="15" customHeight="1">
      <c r="A1681" s="28">
        <v>0</v>
      </c>
      <c r="B1681" s="28" t="s">
        <v>1053</v>
      </c>
      <c r="C1681" s="129" t="s">
        <v>1050</v>
      </c>
      <c r="D1681" s="128">
        <v>0</v>
      </c>
      <c r="E1681" s="128" t="s">
        <v>1050</v>
      </c>
      <c r="F1681" s="29" t="s">
        <v>1050</v>
      </c>
      <c r="G1681" s="56" t="str">
        <f t="shared" ca="1" si="269"/>
        <v/>
      </c>
      <c r="H1681" s="28" t="str">
        <f t="shared" ca="1" si="261"/>
        <v/>
      </c>
      <c r="J1681" s="38" t="str">
        <f t="shared" si="262"/>
        <v xml:space="preserve"> </v>
      </c>
      <c r="K1681" s="39">
        <f t="shared" si="263"/>
        <v>0</v>
      </c>
      <c r="L1681" s="39" t="str">
        <f t="shared" si="264"/>
        <v/>
      </c>
      <c r="M1681" s="40" t="str">
        <f t="shared" si="265"/>
        <v xml:space="preserve"> </v>
      </c>
      <c r="N1681" s="41" t="str">
        <f t="shared" ca="1" si="266"/>
        <v/>
      </c>
      <c r="O1681" s="41" t="str">
        <f t="shared" si="267"/>
        <v xml:space="preserve"> </v>
      </c>
      <c r="P1681" s="60">
        <f t="shared" si="268"/>
        <v>0</v>
      </c>
    </row>
    <row r="1682" spans="1:16" ht="15" customHeight="1">
      <c r="A1682" s="28">
        <v>0</v>
      </c>
      <c r="B1682" s="28" t="s">
        <v>1053</v>
      </c>
      <c r="C1682" s="129" t="s">
        <v>1050</v>
      </c>
      <c r="D1682" s="128">
        <v>0</v>
      </c>
      <c r="E1682" s="128" t="s">
        <v>1050</v>
      </c>
      <c r="F1682" s="29" t="s">
        <v>1050</v>
      </c>
      <c r="G1682" s="56" t="str">
        <f t="shared" ca="1" si="269"/>
        <v/>
      </c>
      <c r="H1682" s="28" t="str">
        <f t="shared" ca="1" si="261"/>
        <v/>
      </c>
      <c r="J1682" s="38" t="str">
        <f t="shared" si="262"/>
        <v xml:space="preserve"> </v>
      </c>
      <c r="K1682" s="39">
        <f t="shared" si="263"/>
        <v>0</v>
      </c>
      <c r="L1682" s="39" t="str">
        <f t="shared" si="264"/>
        <v/>
      </c>
      <c r="M1682" s="40" t="str">
        <f t="shared" si="265"/>
        <v xml:space="preserve"> </v>
      </c>
      <c r="N1682" s="41" t="str">
        <f t="shared" ca="1" si="266"/>
        <v/>
      </c>
      <c r="O1682" s="41" t="str">
        <f t="shared" si="267"/>
        <v xml:space="preserve"> </v>
      </c>
      <c r="P1682" s="60">
        <f t="shared" si="268"/>
        <v>0</v>
      </c>
    </row>
    <row r="1683" spans="1:16" ht="15" customHeight="1">
      <c r="A1683" s="28">
        <v>0</v>
      </c>
      <c r="B1683" s="28" t="s">
        <v>1053</v>
      </c>
      <c r="C1683" s="129" t="s">
        <v>1050</v>
      </c>
      <c r="D1683" s="128">
        <v>0</v>
      </c>
      <c r="E1683" s="128" t="s">
        <v>1050</v>
      </c>
      <c r="F1683" s="29" t="s">
        <v>1050</v>
      </c>
      <c r="G1683" s="56" t="str">
        <f t="shared" ca="1" si="269"/>
        <v/>
      </c>
      <c r="H1683" s="28" t="str">
        <f t="shared" ca="1" si="261"/>
        <v/>
      </c>
      <c r="J1683" s="38" t="str">
        <f t="shared" si="262"/>
        <v xml:space="preserve"> </v>
      </c>
      <c r="K1683" s="39">
        <f t="shared" si="263"/>
        <v>0</v>
      </c>
      <c r="L1683" s="39" t="str">
        <f t="shared" si="264"/>
        <v/>
      </c>
      <c r="M1683" s="40" t="str">
        <f t="shared" si="265"/>
        <v xml:space="preserve"> </v>
      </c>
      <c r="N1683" s="41" t="str">
        <f t="shared" ca="1" si="266"/>
        <v/>
      </c>
      <c r="O1683" s="41" t="str">
        <f t="shared" si="267"/>
        <v xml:space="preserve"> </v>
      </c>
      <c r="P1683" s="60">
        <f t="shared" si="268"/>
        <v>0</v>
      </c>
    </row>
    <row r="1684" spans="1:16" ht="15" customHeight="1">
      <c r="A1684" s="28">
        <v>0</v>
      </c>
      <c r="B1684" s="28" t="s">
        <v>1053</v>
      </c>
      <c r="C1684" s="129" t="s">
        <v>1050</v>
      </c>
      <c r="D1684" s="128">
        <v>0</v>
      </c>
      <c r="E1684" s="128" t="s">
        <v>1050</v>
      </c>
      <c r="F1684" s="29" t="s">
        <v>1050</v>
      </c>
      <c r="G1684" s="56" t="str">
        <f t="shared" ca="1" si="269"/>
        <v/>
      </c>
      <c r="H1684" s="28" t="str">
        <f t="shared" ca="1" si="261"/>
        <v/>
      </c>
      <c r="J1684" s="38" t="str">
        <f t="shared" si="262"/>
        <v xml:space="preserve"> </v>
      </c>
      <c r="K1684" s="39">
        <f t="shared" si="263"/>
        <v>0</v>
      </c>
      <c r="L1684" s="39" t="str">
        <f t="shared" si="264"/>
        <v/>
      </c>
      <c r="M1684" s="40" t="str">
        <f t="shared" si="265"/>
        <v xml:space="preserve"> </v>
      </c>
      <c r="N1684" s="41" t="str">
        <f t="shared" ca="1" si="266"/>
        <v/>
      </c>
      <c r="O1684" s="41" t="str">
        <f t="shared" si="267"/>
        <v xml:space="preserve"> </v>
      </c>
      <c r="P1684" s="60">
        <f t="shared" si="268"/>
        <v>0</v>
      </c>
    </row>
    <row r="1685" spans="1:16" ht="15" customHeight="1">
      <c r="A1685" s="28">
        <v>0</v>
      </c>
      <c r="B1685" s="28" t="s">
        <v>1053</v>
      </c>
      <c r="C1685" s="129" t="s">
        <v>1050</v>
      </c>
      <c r="D1685" s="128">
        <v>0</v>
      </c>
      <c r="E1685" s="128" t="s">
        <v>1050</v>
      </c>
      <c r="F1685" s="29" t="s">
        <v>1050</v>
      </c>
      <c r="G1685" s="56" t="str">
        <f t="shared" ca="1" si="269"/>
        <v/>
      </c>
      <c r="H1685" s="28" t="str">
        <f t="shared" ca="1" si="261"/>
        <v/>
      </c>
      <c r="J1685" s="38" t="str">
        <f t="shared" si="262"/>
        <v xml:space="preserve"> </v>
      </c>
      <c r="K1685" s="39">
        <f t="shared" si="263"/>
        <v>0</v>
      </c>
      <c r="L1685" s="39" t="str">
        <f t="shared" si="264"/>
        <v/>
      </c>
      <c r="M1685" s="40" t="str">
        <f t="shared" si="265"/>
        <v xml:space="preserve"> </v>
      </c>
      <c r="N1685" s="41" t="str">
        <f t="shared" ca="1" si="266"/>
        <v/>
      </c>
      <c r="O1685" s="41" t="str">
        <f t="shared" si="267"/>
        <v xml:space="preserve"> </v>
      </c>
      <c r="P1685" s="60">
        <f t="shared" si="268"/>
        <v>0</v>
      </c>
    </row>
    <row r="1686" spans="1:16" ht="15" customHeight="1">
      <c r="A1686" s="28">
        <v>0</v>
      </c>
      <c r="B1686" s="28" t="s">
        <v>1053</v>
      </c>
      <c r="C1686" s="129" t="s">
        <v>1050</v>
      </c>
      <c r="D1686" s="128">
        <v>0</v>
      </c>
      <c r="E1686" s="128" t="s">
        <v>1050</v>
      </c>
      <c r="F1686" s="29" t="s">
        <v>1050</v>
      </c>
      <c r="G1686" s="56" t="str">
        <f t="shared" ca="1" si="269"/>
        <v/>
      </c>
      <c r="H1686" s="28" t="str">
        <f t="shared" ca="1" si="261"/>
        <v/>
      </c>
      <c r="J1686" s="38" t="str">
        <f t="shared" si="262"/>
        <v xml:space="preserve"> </v>
      </c>
      <c r="K1686" s="39">
        <f t="shared" si="263"/>
        <v>0</v>
      </c>
      <c r="L1686" s="39" t="str">
        <f t="shared" si="264"/>
        <v/>
      </c>
      <c r="M1686" s="40" t="str">
        <f t="shared" si="265"/>
        <v xml:space="preserve"> </v>
      </c>
      <c r="N1686" s="41" t="str">
        <f t="shared" ca="1" si="266"/>
        <v/>
      </c>
      <c r="O1686" s="41" t="str">
        <f t="shared" si="267"/>
        <v xml:space="preserve"> </v>
      </c>
      <c r="P1686" s="60">
        <f t="shared" si="268"/>
        <v>0</v>
      </c>
    </row>
    <row r="1687" spans="1:16" ht="15" customHeight="1">
      <c r="A1687" s="28">
        <v>0</v>
      </c>
      <c r="B1687" s="28" t="s">
        <v>1053</v>
      </c>
      <c r="C1687" s="129" t="s">
        <v>1050</v>
      </c>
      <c r="D1687" s="128">
        <v>0</v>
      </c>
      <c r="E1687" s="128" t="s">
        <v>1050</v>
      </c>
      <c r="F1687" s="29" t="s">
        <v>1050</v>
      </c>
      <c r="G1687" s="56" t="str">
        <f t="shared" ca="1" si="269"/>
        <v/>
      </c>
      <c r="H1687" s="28" t="str">
        <f t="shared" ca="1" si="261"/>
        <v/>
      </c>
      <c r="J1687" s="38" t="str">
        <f t="shared" si="262"/>
        <v xml:space="preserve"> </v>
      </c>
      <c r="K1687" s="39">
        <f t="shared" si="263"/>
        <v>0</v>
      </c>
      <c r="L1687" s="39" t="str">
        <f t="shared" si="264"/>
        <v/>
      </c>
      <c r="M1687" s="40" t="str">
        <f t="shared" si="265"/>
        <v xml:space="preserve"> </v>
      </c>
      <c r="N1687" s="41" t="str">
        <f t="shared" ca="1" si="266"/>
        <v/>
      </c>
      <c r="O1687" s="41" t="str">
        <f t="shared" si="267"/>
        <v xml:space="preserve"> </v>
      </c>
      <c r="P1687" s="60">
        <f t="shared" si="268"/>
        <v>0</v>
      </c>
    </row>
    <row r="1688" spans="1:16" ht="15" customHeight="1">
      <c r="A1688" s="28">
        <v>0</v>
      </c>
      <c r="B1688" s="28" t="s">
        <v>1053</v>
      </c>
      <c r="C1688" s="129" t="s">
        <v>1050</v>
      </c>
      <c r="D1688" s="128">
        <v>0</v>
      </c>
      <c r="E1688" s="128" t="s">
        <v>1050</v>
      </c>
      <c r="F1688" s="29" t="s">
        <v>1050</v>
      </c>
      <c r="G1688" s="56" t="str">
        <f t="shared" ca="1" si="269"/>
        <v/>
      </c>
      <c r="H1688" s="28" t="str">
        <f t="shared" ca="1" si="261"/>
        <v/>
      </c>
      <c r="J1688" s="38" t="str">
        <f t="shared" si="262"/>
        <v xml:space="preserve"> </v>
      </c>
      <c r="K1688" s="39">
        <f t="shared" si="263"/>
        <v>0</v>
      </c>
      <c r="L1688" s="39" t="str">
        <f t="shared" si="264"/>
        <v/>
      </c>
      <c r="M1688" s="40" t="str">
        <f t="shared" si="265"/>
        <v xml:space="preserve"> </v>
      </c>
      <c r="N1688" s="41" t="str">
        <f t="shared" ca="1" si="266"/>
        <v/>
      </c>
      <c r="O1688" s="41" t="str">
        <f t="shared" si="267"/>
        <v xml:space="preserve"> </v>
      </c>
      <c r="P1688" s="60">
        <f t="shared" si="268"/>
        <v>0</v>
      </c>
    </row>
    <row r="1689" spans="1:16" ht="15" customHeight="1">
      <c r="A1689" s="28">
        <v>0</v>
      </c>
      <c r="B1689" s="28" t="s">
        <v>1053</v>
      </c>
      <c r="C1689" s="129" t="s">
        <v>1050</v>
      </c>
      <c r="D1689" s="128">
        <v>0</v>
      </c>
      <c r="E1689" s="128" t="s">
        <v>1050</v>
      </c>
      <c r="F1689" s="29" t="s">
        <v>1050</v>
      </c>
      <c r="G1689" s="56" t="str">
        <f t="shared" ca="1" si="269"/>
        <v/>
      </c>
      <c r="H1689" s="28" t="str">
        <f t="shared" ca="1" si="261"/>
        <v/>
      </c>
      <c r="J1689" s="38" t="str">
        <f t="shared" si="262"/>
        <v xml:space="preserve"> </v>
      </c>
      <c r="K1689" s="39">
        <f t="shared" si="263"/>
        <v>0</v>
      </c>
      <c r="L1689" s="39" t="str">
        <f t="shared" si="264"/>
        <v/>
      </c>
      <c r="M1689" s="40" t="str">
        <f t="shared" si="265"/>
        <v xml:space="preserve"> </v>
      </c>
      <c r="N1689" s="41" t="str">
        <f t="shared" ca="1" si="266"/>
        <v/>
      </c>
      <c r="O1689" s="41" t="str">
        <f t="shared" si="267"/>
        <v xml:space="preserve"> </v>
      </c>
      <c r="P1689" s="60">
        <f t="shared" si="268"/>
        <v>0</v>
      </c>
    </row>
    <row r="1690" spans="1:16" ht="15" customHeight="1">
      <c r="A1690" s="28">
        <v>0</v>
      </c>
      <c r="B1690" s="28" t="s">
        <v>1053</v>
      </c>
      <c r="C1690" s="129" t="s">
        <v>1050</v>
      </c>
      <c r="D1690" s="128">
        <v>0</v>
      </c>
      <c r="E1690" s="128" t="s">
        <v>1050</v>
      </c>
      <c r="F1690" s="29" t="s">
        <v>1050</v>
      </c>
      <c r="G1690" s="56" t="str">
        <f t="shared" ca="1" si="269"/>
        <v/>
      </c>
      <c r="H1690" s="28" t="str">
        <f t="shared" ca="1" si="261"/>
        <v/>
      </c>
      <c r="J1690" s="38" t="str">
        <f t="shared" si="262"/>
        <v xml:space="preserve"> </v>
      </c>
      <c r="K1690" s="39">
        <f t="shared" si="263"/>
        <v>0</v>
      </c>
      <c r="L1690" s="39" t="str">
        <f t="shared" si="264"/>
        <v/>
      </c>
      <c r="M1690" s="40" t="str">
        <f t="shared" si="265"/>
        <v xml:space="preserve"> </v>
      </c>
      <c r="N1690" s="41" t="str">
        <f t="shared" ca="1" si="266"/>
        <v/>
      </c>
      <c r="O1690" s="41" t="str">
        <f t="shared" si="267"/>
        <v xml:space="preserve"> </v>
      </c>
      <c r="P1690" s="60">
        <f t="shared" si="268"/>
        <v>0</v>
      </c>
    </row>
    <row r="1691" spans="1:16" ht="15" customHeight="1">
      <c r="A1691" s="28">
        <v>0</v>
      </c>
      <c r="B1691" s="28" t="s">
        <v>1053</v>
      </c>
      <c r="C1691" s="129" t="s">
        <v>1050</v>
      </c>
      <c r="D1691" s="128">
        <v>0</v>
      </c>
      <c r="E1691" s="128" t="s">
        <v>1050</v>
      </c>
      <c r="F1691" s="29" t="s">
        <v>1050</v>
      </c>
      <c r="G1691" s="56" t="str">
        <f t="shared" ca="1" si="269"/>
        <v/>
      </c>
      <c r="H1691" s="28" t="str">
        <f t="shared" ca="1" si="261"/>
        <v/>
      </c>
      <c r="J1691" s="38" t="str">
        <f t="shared" si="262"/>
        <v xml:space="preserve"> </v>
      </c>
      <c r="K1691" s="39">
        <f t="shared" si="263"/>
        <v>0</v>
      </c>
      <c r="L1691" s="39" t="str">
        <f t="shared" si="264"/>
        <v/>
      </c>
      <c r="M1691" s="40" t="str">
        <f t="shared" si="265"/>
        <v xml:space="preserve"> </v>
      </c>
      <c r="N1691" s="41" t="str">
        <f t="shared" ca="1" si="266"/>
        <v/>
      </c>
      <c r="O1691" s="41" t="str">
        <f t="shared" si="267"/>
        <v xml:space="preserve"> </v>
      </c>
      <c r="P1691" s="60">
        <f t="shared" si="268"/>
        <v>0</v>
      </c>
    </row>
    <row r="1692" spans="1:16" ht="15" customHeight="1">
      <c r="A1692" s="28">
        <v>0</v>
      </c>
      <c r="B1692" s="28" t="s">
        <v>1053</v>
      </c>
      <c r="C1692" s="129" t="s">
        <v>1050</v>
      </c>
      <c r="D1692" s="128">
        <v>0</v>
      </c>
      <c r="E1692" s="128" t="s">
        <v>1050</v>
      </c>
      <c r="F1692" s="29" t="s">
        <v>1050</v>
      </c>
      <c r="G1692" s="56" t="str">
        <f t="shared" ca="1" si="269"/>
        <v/>
      </c>
      <c r="H1692" s="28" t="str">
        <f t="shared" ca="1" si="261"/>
        <v/>
      </c>
      <c r="J1692" s="38" t="str">
        <f t="shared" si="262"/>
        <v xml:space="preserve"> </v>
      </c>
      <c r="K1692" s="39">
        <f t="shared" si="263"/>
        <v>0</v>
      </c>
      <c r="L1692" s="39" t="str">
        <f t="shared" si="264"/>
        <v/>
      </c>
      <c r="M1692" s="40" t="str">
        <f t="shared" si="265"/>
        <v xml:space="preserve"> </v>
      </c>
      <c r="N1692" s="41" t="str">
        <f t="shared" ca="1" si="266"/>
        <v/>
      </c>
      <c r="O1692" s="41" t="str">
        <f t="shared" si="267"/>
        <v xml:space="preserve"> </v>
      </c>
      <c r="P1692" s="60">
        <f t="shared" si="268"/>
        <v>0</v>
      </c>
    </row>
    <row r="1693" spans="1:16" ht="15" customHeight="1">
      <c r="A1693" s="28">
        <v>0</v>
      </c>
      <c r="B1693" s="28" t="s">
        <v>1053</v>
      </c>
      <c r="C1693" s="129" t="s">
        <v>1050</v>
      </c>
      <c r="D1693" s="128">
        <v>0</v>
      </c>
      <c r="E1693" s="128" t="s">
        <v>1050</v>
      </c>
      <c r="F1693" s="29" t="s">
        <v>1050</v>
      </c>
      <c r="G1693" s="56" t="str">
        <f t="shared" ca="1" si="269"/>
        <v/>
      </c>
      <c r="H1693" s="28" t="str">
        <f t="shared" ca="1" si="261"/>
        <v/>
      </c>
      <c r="J1693" s="38" t="str">
        <f t="shared" si="262"/>
        <v xml:space="preserve"> </v>
      </c>
      <c r="K1693" s="39">
        <f t="shared" si="263"/>
        <v>0</v>
      </c>
      <c r="L1693" s="39" t="str">
        <f t="shared" si="264"/>
        <v/>
      </c>
      <c r="M1693" s="40" t="str">
        <f t="shared" si="265"/>
        <v xml:space="preserve"> </v>
      </c>
      <c r="N1693" s="41" t="str">
        <f t="shared" ca="1" si="266"/>
        <v/>
      </c>
      <c r="O1693" s="41" t="str">
        <f t="shared" si="267"/>
        <v xml:space="preserve"> </v>
      </c>
      <c r="P1693" s="60">
        <f t="shared" si="268"/>
        <v>0</v>
      </c>
    </row>
    <row r="1694" spans="1:16" ht="15" customHeight="1">
      <c r="A1694" s="28">
        <v>0</v>
      </c>
      <c r="B1694" s="28" t="s">
        <v>1053</v>
      </c>
      <c r="C1694" s="129" t="s">
        <v>1050</v>
      </c>
      <c r="D1694" s="128">
        <v>0</v>
      </c>
      <c r="E1694" s="128" t="s">
        <v>1050</v>
      </c>
      <c r="F1694" s="29" t="s">
        <v>1050</v>
      </c>
      <c r="G1694" s="56" t="str">
        <f t="shared" ca="1" si="269"/>
        <v/>
      </c>
      <c r="H1694" s="28" t="str">
        <f t="shared" ca="1" si="261"/>
        <v/>
      </c>
      <c r="J1694" s="38" t="str">
        <f t="shared" si="262"/>
        <v xml:space="preserve"> </v>
      </c>
      <c r="K1694" s="39">
        <f t="shared" si="263"/>
        <v>0</v>
      </c>
      <c r="L1694" s="39" t="str">
        <f t="shared" si="264"/>
        <v/>
      </c>
      <c r="M1694" s="40" t="str">
        <f t="shared" si="265"/>
        <v xml:space="preserve"> </v>
      </c>
      <c r="N1694" s="41" t="str">
        <f t="shared" ca="1" si="266"/>
        <v/>
      </c>
      <c r="O1694" s="41" t="str">
        <f t="shared" si="267"/>
        <v xml:space="preserve"> </v>
      </c>
      <c r="P1694" s="60">
        <f t="shared" si="268"/>
        <v>0</v>
      </c>
    </row>
    <row r="1695" spans="1:16" ht="15" customHeight="1">
      <c r="A1695" s="28">
        <v>0</v>
      </c>
      <c r="B1695" s="28" t="s">
        <v>1053</v>
      </c>
      <c r="C1695" s="129" t="s">
        <v>1050</v>
      </c>
      <c r="D1695" s="128">
        <v>0</v>
      </c>
      <c r="E1695" s="128" t="s">
        <v>1050</v>
      </c>
      <c r="F1695" s="29" t="s">
        <v>1050</v>
      </c>
      <c r="G1695" s="56" t="str">
        <f t="shared" ca="1" si="269"/>
        <v/>
      </c>
      <c r="H1695" s="28" t="str">
        <f t="shared" ref="H1695:H1702" ca="1" si="270">IFERROR(IF($A1695&gt;0,ROUNDDOWN(INT(TODAY()-F1695)/365.25,0),""),"")</f>
        <v/>
      </c>
      <c r="J1695" s="38" t="str">
        <f t="shared" ref="J1695:J1702" si="271">C1695</f>
        <v xml:space="preserve"> </v>
      </c>
      <c r="K1695" s="39">
        <f t="shared" ref="K1695:K1702" si="272">A1695</f>
        <v>0</v>
      </c>
      <c r="L1695" s="39" t="str">
        <f t="shared" ref="L1695:L1702" si="273">B1695</f>
        <v/>
      </c>
      <c r="M1695" s="40" t="str">
        <f t="shared" ref="M1695:M1702" si="274">F1695</f>
        <v xml:space="preserve"> </v>
      </c>
      <c r="N1695" s="41" t="str">
        <f t="shared" ref="N1695:N1702" ca="1" si="275">G1695</f>
        <v/>
      </c>
      <c r="O1695" s="41" t="str">
        <f t="shared" ref="O1695:O1702" si="276">E1695</f>
        <v xml:space="preserve"> </v>
      </c>
      <c r="P1695" s="60">
        <f t="shared" ref="P1695:P1702" si="277">D1695</f>
        <v>0</v>
      </c>
    </row>
    <row r="1696" spans="1:16" ht="15" customHeight="1">
      <c r="A1696" s="28">
        <v>0</v>
      </c>
      <c r="B1696" s="28" t="s">
        <v>1053</v>
      </c>
      <c r="C1696" s="129" t="s">
        <v>1050</v>
      </c>
      <c r="D1696" s="128">
        <v>0</v>
      </c>
      <c r="E1696" s="128" t="s">
        <v>1050</v>
      </c>
      <c r="F1696" s="29" t="s">
        <v>1050</v>
      </c>
      <c r="G1696" s="56" t="str">
        <f t="shared" ca="1" si="269"/>
        <v/>
      </c>
      <c r="H1696" s="28" t="str">
        <f t="shared" ca="1" si="270"/>
        <v/>
      </c>
      <c r="J1696" s="38" t="str">
        <f t="shared" si="271"/>
        <v xml:space="preserve"> </v>
      </c>
      <c r="K1696" s="39">
        <f t="shared" si="272"/>
        <v>0</v>
      </c>
      <c r="L1696" s="39" t="str">
        <f t="shared" si="273"/>
        <v/>
      </c>
      <c r="M1696" s="40" t="str">
        <f t="shared" si="274"/>
        <v xml:space="preserve"> </v>
      </c>
      <c r="N1696" s="41" t="str">
        <f t="shared" ca="1" si="275"/>
        <v/>
      </c>
      <c r="O1696" s="41" t="str">
        <f t="shared" si="276"/>
        <v xml:space="preserve"> </v>
      </c>
      <c r="P1696" s="60">
        <f t="shared" si="277"/>
        <v>0</v>
      </c>
    </row>
    <row r="1697" spans="1:16" ht="15" customHeight="1">
      <c r="A1697" s="28">
        <v>0</v>
      </c>
      <c r="B1697" s="28" t="s">
        <v>1053</v>
      </c>
      <c r="C1697" s="129" t="s">
        <v>1050</v>
      </c>
      <c r="D1697" s="128">
        <v>0</v>
      </c>
      <c r="E1697" s="128" t="s">
        <v>1050</v>
      </c>
      <c r="F1697" s="29" t="s">
        <v>1050</v>
      </c>
      <c r="G1697" s="56" t="str">
        <f t="shared" ca="1" si="269"/>
        <v/>
      </c>
      <c r="H1697" s="28" t="str">
        <f t="shared" ca="1" si="270"/>
        <v/>
      </c>
      <c r="J1697" s="38" t="str">
        <f t="shared" si="271"/>
        <v xml:space="preserve"> </v>
      </c>
      <c r="K1697" s="39">
        <f t="shared" si="272"/>
        <v>0</v>
      </c>
      <c r="L1697" s="39" t="str">
        <f t="shared" si="273"/>
        <v/>
      </c>
      <c r="M1697" s="40" t="str">
        <f t="shared" si="274"/>
        <v xml:space="preserve"> </v>
      </c>
      <c r="N1697" s="41" t="str">
        <f t="shared" ca="1" si="275"/>
        <v/>
      </c>
      <c r="O1697" s="41" t="str">
        <f t="shared" si="276"/>
        <v xml:space="preserve"> </v>
      </c>
      <c r="P1697" s="60">
        <f t="shared" si="277"/>
        <v>0</v>
      </c>
    </row>
    <row r="1698" spans="1:16" ht="15" customHeight="1">
      <c r="A1698" s="28">
        <v>0</v>
      </c>
      <c r="B1698" s="28" t="s">
        <v>1053</v>
      </c>
      <c r="C1698" s="129" t="s">
        <v>1050</v>
      </c>
      <c r="D1698" s="128">
        <v>0</v>
      </c>
      <c r="E1698" s="128" t="s">
        <v>1050</v>
      </c>
      <c r="F1698" s="29" t="s">
        <v>1050</v>
      </c>
      <c r="G1698" s="56" t="str">
        <f t="shared" ca="1" si="269"/>
        <v/>
      </c>
      <c r="H1698" s="28" t="str">
        <f t="shared" ca="1" si="270"/>
        <v/>
      </c>
      <c r="J1698" s="38" t="str">
        <f t="shared" si="271"/>
        <v xml:space="preserve"> </v>
      </c>
      <c r="K1698" s="39">
        <f t="shared" si="272"/>
        <v>0</v>
      </c>
      <c r="L1698" s="39" t="str">
        <f t="shared" si="273"/>
        <v/>
      </c>
      <c r="M1698" s="40" t="str">
        <f t="shared" si="274"/>
        <v xml:space="preserve"> </v>
      </c>
      <c r="N1698" s="41" t="str">
        <f t="shared" ca="1" si="275"/>
        <v/>
      </c>
      <c r="O1698" s="41" t="str">
        <f t="shared" si="276"/>
        <v xml:space="preserve"> </v>
      </c>
      <c r="P1698" s="60">
        <f t="shared" si="277"/>
        <v>0</v>
      </c>
    </row>
    <row r="1699" spans="1:16" ht="15" customHeight="1">
      <c r="A1699" s="28">
        <v>0</v>
      </c>
      <c r="B1699" s="28" t="s">
        <v>1053</v>
      </c>
      <c r="C1699" s="129" t="s">
        <v>1050</v>
      </c>
      <c r="D1699" s="128">
        <v>0</v>
      </c>
      <c r="E1699" s="128" t="s">
        <v>1050</v>
      </c>
      <c r="F1699" s="29" t="s">
        <v>1050</v>
      </c>
      <c r="G1699" s="56" t="str">
        <f t="shared" ca="1" si="269"/>
        <v/>
      </c>
      <c r="H1699" s="28" t="str">
        <f t="shared" ca="1" si="270"/>
        <v/>
      </c>
      <c r="J1699" s="38" t="str">
        <f t="shared" si="271"/>
        <v xml:space="preserve"> </v>
      </c>
      <c r="K1699" s="39">
        <f t="shared" si="272"/>
        <v>0</v>
      </c>
      <c r="L1699" s="39" t="str">
        <f t="shared" si="273"/>
        <v/>
      </c>
      <c r="M1699" s="40" t="str">
        <f t="shared" si="274"/>
        <v xml:space="preserve"> </v>
      </c>
      <c r="N1699" s="41" t="str">
        <f t="shared" ca="1" si="275"/>
        <v/>
      </c>
      <c r="O1699" s="41" t="str">
        <f t="shared" si="276"/>
        <v xml:space="preserve"> </v>
      </c>
      <c r="P1699" s="60">
        <f t="shared" si="277"/>
        <v>0</v>
      </c>
    </row>
    <row r="1700" spans="1:16" ht="15" customHeight="1">
      <c r="A1700" s="28">
        <v>0</v>
      </c>
      <c r="B1700" s="28" t="s">
        <v>1053</v>
      </c>
      <c r="C1700" s="129" t="s">
        <v>1050</v>
      </c>
      <c r="D1700" s="128">
        <v>0</v>
      </c>
      <c r="E1700" s="128" t="s">
        <v>1050</v>
      </c>
      <c r="F1700" s="29" t="s">
        <v>1050</v>
      </c>
      <c r="G1700" s="56" t="str">
        <f t="shared" ca="1" si="269"/>
        <v/>
      </c>
      <c r="H1700" s="28" t="str">
        <f t="shared" ca="1" si="270"/>
        <v/>
      </c>
      <c r="J1700" s="38" t="str">
        <f t="shared" si="271"/>
        <v xml:space="preserve"> </v>
      </c>
      <c r="K1700" s="39">
        <f t="shared" si="272"/>
        <v>0</v>
      </c>
      <c r="L1700" s="39" t="str">
        <f t="shared" si="273"/>
        <v/>
      </c>
      <c r="M1700" s="40" t="str">
        <f t="shared" si="274"/>
        <v xml:space="preserve"> </v>
      </c>
      <c r="N1700" s="41" t="str">
        <f t="shared" ca="1" si="275"/>
        <v/>
      </c>
      <c r="O1700" s="41" t="str">
        <f t="shared" si="276"/>
        <v xml:space="preserve"> </v>
      </c>
      <c r="P1700" s="60">
        <f t="shared" si="277"/>
        <v>0</v>
      </c>
    </row>
    <row r="1701" spans="1:16" ht="15" customHeight="1">
      <c r="A1701" s="28">
        <v>0</v>
      </c>
      <c r="B1701" s="28" t="s">
        <v>1053</v>
      </c>
      <c r="C1701" s="129" t="s">
        <v>1050</v>
      </c>
      <c r="D1701" s="128">
        <v>0</v>
      </c>
      <c r="E1701" s="128" t="s">
        <v>1050</v>
      </c>
      <c r="F1701" s="29" t="s">
        <v>1050</v>
      </c>
      <c r="G1701" s="56" t="str">
        <f t="shared" ca="1" si="269"/>
        <v/>
      </c>
      <c r="H1701" s="28" t="str">
        <f t="shared" ca="1" si="270"/>
        <v/>
      </c>
      <c r="J1701" s="38" t="str">
        <f t="shared" si="271"/>
        <v xml:space="preserve"> </v>
      </c>
      <c r="K1701" s="39">
        <f t="shared" si="272"/>
        <v>0</v>
      </c>
      <c r="L1701" s="39" t="str">
        <f t="shared" si="273"/>
        <v/>
      </c>
      <c r="M1701" s="40" t="str">
        <f t="shared" si="274"/>
        <v xml:space="preserve"> </v>
      </c>
      <c r="N1701" s="41" t="str">
        <f t="shared" ca="1" si="275"/>
        <v/>
      </c>
      <c r="O1701" s="41" t="str">
        <f t="shared" si="276"/>
        <v xml:space="preserve"> </v>
      </c>
      <c r="P1701" s="60">
        <f t="shared" si="277"/>
        <v>0</v>
      </c>
    </row>
    <row r="1702" spans="1:16" ht="15" customHeight="1">
      <c r="A1702" s="28">
        <v>0</v>
      </c>
      <c r="B1702" s="28" t="s">
        <v>1053</v>
      </c>
      <c r="C1702" s="129" t="s">
        <v>1050</v>
      </c>
      <c r="D1702" s="128">
        <v>0</v>
      </c>
      <c r="E1702" s="128" t="s">
        <v>1050</v>
      </c>
      <c r="F1702" s="29" t="s">
        <v>1050</v>
      </c>
      <c r="G1702" s="56" t="str">
        <f t="shared" ca="1" si="269"/>
        <v/>
      </c>
      <c r="H1702" s="28" t="str">
        <f t="shared" ca="1" si="270"/>
        <v/>
      </c>
      <c r="J1702" s="38" t="str">
        <f t="shared" si="271"/>
        <v xml:space="preserve"> </v>
      </c>
      <c r="K1702" s="39">
        <f t="shared" si="272"/>
        <v>0</v>
      </c>
      <c r="L1702" s="39" t="str">
        <f t="shared" si="273"/>
        <v/>
      </c>
      <c r="M1702" s="40" t="str">
        <f t="shared" si="274"/>
        <v xml:space="preserve"> </v>
      </c>
      <c r="N1702" s="41" t="str">
        <f t="shared" ca="1" si="275"/>
        <v/>
      </c>
      <c r="O1702" s="41" t="str">
        <f t="shared" si="276"/>
        <v xml:space="preserve"> </v>
      </c>
      <c r="P1702" s="60">
        <f t="shared" si="277"/>
        <v>0</v>
      </c>
    </row>
    <row r="1703" spans="1:16" ht="15" customHeight="1">
      <c r="A1703" s="28">
        <v>0</v>
      </c>
      <c r="B1703" s="28" t="s">
        <v>1053</v>
      </c>
      <c r="C1703" s="129" t="s">
        <v>1050</v>
      </c>
      <c r="D1703" s="128">
        <v>0</v>
      </c>
      <c r="E1703" s="128" t="s">
        <v>1050</v>
      </c>
      <c r="F1703" s="29" t="s">
        <v>1050</v>
      </c>
      <c r="G1703" s="56" t="str">
        <f t="shared" ca="1" si="269"/>
        <v/>
      </c>
      <c r="H1703" s="28" t="str">
        <f t="shared" ref="H1703:H1766" ca="1" si="278">IFERROR(IF($A1703&gt;0,ROUNDDOWN(INT(TODAY()-F1703)/365.25,0),""),"")</f>
        <v/>
      </c>
      <c r="J1703" s="38" t="str">
        <f t="shared" ref="J1703:J1766" si="279">C1703</f>
        <v xml:space="preserve"> </v>
      </c>
      <c r="K1703" s="39">
        <f t="shared" ref="K1703:K1766" si="280">A1703</f>
        <v>0</v>
      </c>
      <c r="L1703" s="39" t="str">
        <f t="shared" ref="L1703:L1766" si="281">B1703</f>
        <v/>
      </c>
      <c r="M1703" s="40" t="str">
        <f t="shared" ref="M1703:M1766" si="282">F1703</f>
        <v xml:space="preserve"> </v>
      </c>
      <c r="N1703" s="41" t="str">
        <f t="shared" ref="N1703:N1766" ca="1" si="283">G1703</f>
        <v/>
      </c>
      <c r="O1703" s="41" t="str">
        <f t="shared" ref="O1703:O1766" si="284">E1703</f>
        <v xml:space="preserve"> </v>
      </c>
      <c r="P1703" s="60">
        <f t="shared" ref="P1703:P1766" si="285">D1703</f>
        <v>0</v>
      </c>
    </row>
    <row r="1704" spans="1:16" ht="15" customHeight="1">
      <c r="A1704" s="28">
        <v>0</v>
      </c>
      <c r="B1704" s="28" t="s">
        <v>1053</v>
      </c>
      <c r="C1704" s="129" t="s">
        <v>1050</v>
      </c>
      <c r="D1704" s="128">
        <v>0</v>
      </c>
      <c r="E1704" s="128" t="s">
        <v>1050</v>
      </c>
      <c r="F1704" s="29" t="s">
        <v>1050</v>
      </c>
      <c r="G1704" s="56" t="str">
        <f t="shared" ca="1" si="269"/>
        <v/>
      </c>
      <c r="H1704" s="28" t="str">
        <f t="shared" ca="1" si="278"/>
        <v/>
      </c>
      <c r="J1704" s="38" t="str">
        <f t="shared" si="279"/>
        <v xml:space="preserve"> </v>
      </c>
      <c r="K1704" s="39">
        <f t="shared" si="280"/>
        <v>0</v>
      </c>
      <c r="L1704" s="39" t="str">
        <f t="shared" si="281"/>
        <v/>
      </c>
      <c r="M1704" s="40" t="str">
        <f t="shared" si="282"/>
        <v xml:space="preserve"> </v>
      </c>
      <c r="N1704" s="41" t="str">
        <f t="shared" ca="1" si="283"/>
        <v/>
      </c>
      <c r="O1704" s="41" t="str">
        <f t="shared" si="284"/>
        <v xml:space="preserve"> </v>
      </c>
      <c r="P1704" s="60">
        <f t="shared" si="285"/>
        <v>0</v>
      </c>
    </row>
    <row r="1705" spans="1:16" ht="15" customHeight="1">
      <c r="A1705" s="28">
        <v>0</v>
      </c>
      <c r="B1705" s="28" t="s">
        <v>1053</v>
      </c>
      <c r="C1705" s="129" t="s">
        <v>1050</v>
      </c>
      <c r="D1705" s="128">
        <v>0</v>
      </c>
      <c r="E1705" s="128" t="s">
        <v>1050</v>
      </c>
      <c r="F1705" s="29" t="s">
        <v>1050</v>
      </c>
      <c r="G1705" s="56" t="str">
        <f t="shared" ca="1" si="269"/>
        <v/>
      </c>
      <c r="H1705" s="28" t="str">
        <f t="shared" ca="1" si="278"/>
        <v/>
      </c>
      <c r="J1705" s="38" t="str">
        <f t="shared" si="279"/>
        <v xml:space="preserve"> </v>
      </c>
      <c r="K1705" s="39">
        <f t="shared" si="280"/>
        <v>0</v>
      </c>
      <c r="L1705" s="39" t="str">
        <f t="shared" si="281"/>
        <v/>
      </c>
      <c r="M1705" s="40" t="str">
        <f t="shared" si="282"/>
        <v xml:space="preserve"> </v>
      </c>
      <c r="N1705" s="41" t="str">
        <f t="shared" ca="1" si="283"/>
        <v/>
      </c>
      <c r="O1705" s="41" t="str">
        <f t="shared" si="284"/>
        <v xml:space="preserve"> </v>
      </c>
      <c r="P1705" s="60">
        <f t="shared" si="285"/>
        <v>0</v>
      </c>
    </row>
    <row r="1706" spans="1:16" ht="15" customHeight="1">
      <c r="A1706" s="28">
        <v>0</v>
      </c>
      <c r="B1706" s="28" t="s">
        <v>1053</v>
      </c>
      <c r="C1706" s="129" t="s">
        <v>1050</v>
      </c>
      <c r="D1706" s="128">
        <v>0</v>
      </c>
      <c r="E1706" s="128" t="s">
        <v>1050</v>
      </c>
      <c r="F1706" s="29" t="s">
        <v>1050</v>
      </c>
      <c r="G1706" s="56" t="str">
        <f t="shared" ca="1" si="269"/>
        <v/>
      </c>
      <c r="H1706" s="28" t="str">
        <f t="shared" ca="1" si="278"/>
        <v/>
      </c>
      <c r="J1706" s="38" t="str">
        <f t="shared" si="279"/>
        <v xml:space="preserve"> </v>
      </c>
      <c r="K1706" s="39">
        <f t="shared" si="280"/>
        <v>0</v>
      </c>
      <c r="L1706" s="39" t="str">
        <f t="shared" si="281"/>
        <v/>
      </c>
      <c r="M1706" s="40" t="str">
        <f t="shared" si="282"/>
        <v xml:space="preserve"> </v>
      </c>
      <c r="N1706" s="41" t="str">
        <f t="shared" ca="1" si="283"/>
        <v/>
      </c>
      <c r="O1706" s="41" t="str">
        <f t="shared" si="284"/>
        <v xml:space="preserve"> </v>
      </c>
      <c r="P1706" s="60">
        <f t="shared" si="285"/>
        <v>0</v>
      </c>
    </row>
    <row r="1707" spans="1:16" ht="15" customHeight="1">
      <c r="A1707" s="28">
        <v>0</v>
      </c>
      <c r="B1707" s="28" t="s">
        <v>1053</v>
      </c>
      <c r="C1707" s="129" t="s">
        <v>1050</v>
      </c>
      <c r="D1707" s="128">
        <v>0</v>
      </c>
      <c r="E1707" s="128" t="s">
        <v>1050</v>
      </c>
      <c r="F1707" s="29" t="s">
        <v>1050</v>
      </c>
      <c r="G1707" s="56" t="str">
        <f t="shared" ca="1" si="269"/>
        <v/>
      </c>
      <c r="H1707" s="28" t="str">
        <f t="shared" ca="1" si="278"/>
        <v/>
      </c>
      <c r="J1707" s="38" t="str">
        <f t="shared" si="279"/>
        <v xml:space="preserve"> </v>
      </c>
      <c r="K1707" s="39">
        <f t="shared" si="280"/>
        <v>0</v>
      </c>
      <c r="L1707" s="39" t="str">
        <f t="shared" si="281"/>
        <v/>
      </c>
      <c r="M1707" s="40" t="str">
        <f t="shared" si="282"/>
        <v xml:space="preserve"> </v>
      </c>
      <c r="N1707" s="41" t="str">
        <f t="shared" ca="1" si="283"/>
        <v/>
      </c>
      <c r="O1707" s="41" t="str">
        <f t="shared" si="284"/>
        <v xml:space="preserve"> </v>
      </c>
      <c r="P1707" s="60">
        <f t="shared" si="285"/>
        <v>0</v>
      </c>
    </row>
    <row r="1708" spans="1:16" ht="15" customHeight="1">
      <c r="A1708" s="28">
        <v>0</v>
      </c>
      <c r="B1708" s="28" t="s">
        <v>1053</v>
      </c>
      <c r="C1708" s="129" t="s">
        <v>1050</v>
      </c>
      <c r="D1708" s="128">
        <v>0</v>
      </c>
      <c r="E1708" s="128" t="s">
        <v>1050</v>
      </c>
      <c r="F1708" s="29" t="s">
        <v>1050</v>
      </c>
      <c r="G1708" s="56" t="str">
        <f t="shared" ca="1" si="269"/>
        <v/>
      </c>
      <c r="H1708" s="28" t="str">
        <f t="shared" ca="1" si="278"/>
        <v/>
      </c>
      <c r="J1708" s="38" t="str">
        <f t="shared" si="279"/>
        <v xml:space="preserve"> </v>
      </c>
      <c r="K1708" s="39">
        <f t="shared" si="280"/>
        <v>0</v>
      </c>
      <c r="L1708" s="39" t="str">
        <f t="shared" si="281"/>
        <v/>
      </c>
      <c r="M1708" s="40" t="str">
        <f t="shared" si="282"/>
        <v xml:space="preserve"> </v>
      </c>
      <c r="N1708" s="41" t="str">
        <f t="shared" ca="1" si="283"/>
        <v/>
      </c>
      <c r="O1708" s="41" t="str">
        <f t="shared" si="284"/>
        <v xml:space="preserve"> </v>
      </c>
      <c r="P1708" s="60">
        <f t="shared" si="285"/>
        <v>0</v>
      </c>
    </row>
    <row r="1709" spans="1:16" ht="15" customHeight="1">
      <c r="A1709" s="28">
        <v>0</v>
      </c>
      <c r="B1709" s="28" t="s">
        <v>1053</v>
      </c>
      <c r="C1709" s="129" t="s">
        <v>1050</v>
      </c>
      <c r="D1709" s="128">
        <v>0</v>
      </c>
      <c r="E1709" s="128" t="s">
        <v>1050</v>
      </c>
      <c r="F1709" s="29" t="s">
        <v>1050</v>
      </c>
      <c r="G1709" s="56" t="str">
        <f t="shared" ca="1" si="269"/>
        <v/>
      </c>
      <c r="H1709" s="28" t="str">
        <f t="shared" ca="1" si="278"/>
        <v/>
      </c>
      <c r="J1709" s="38" t="str">
        <f t="shared" si="279"/>
        <v xml:space="preserve"> </v>
      </c>
      <c r="K1709" s="39">
        <f t="shared" si="280"/>
        <v>0</v>
      </c>
      <c r="L1709" s="39" t="str">
        <f t="shared" si="281"/>
        <v/>
      </c>
      <c r="M1709" s="40" t="str">
        <f t="shared" si="282"/>
        <v xml:space="preserve"> </v>
      </c>
      <c r="N1709" s="41" t="str">
        <f t="shared" ca="1" si="283"/>
        <v/>
      </c>
      <c r="O1709" s="41" t="str">
        <f t="shared" si="284"/>
        <v xml:space="preserve"> </v>
      </c>
      <c r="P1709" s="60">
        <f t="shared" si="285"/>
        <v>0</v>
      </c>
    </row>
    <row r="1710" spans="1:16" ht="15" customHeight="1">
      <c r="A1710" s="28">
        <v>0</v>
      </c>
      <c r="B1710" s="28" t="s">
        <v>1053</v>
      </c>
      <c r="C1710" s="129" t="s">
        <v>1050</v>
      </c>
      <c r="D1710" s="128">
        <v>0</v>
      </c>
      <c r="E1710" s="128" t="s">
        <v>1050</v>
      </c>
      <c r="F1710" s="29" t="s">
        <v>1050</v>
      </c>
      <c r="G1710" s="56" t="str">
        <f t="shared" ca="1" si="269"/>
        <v/>
      </c>
      <c r="H1710" s="28" t="str">
        <f t="shared" ca="1" si="278"/>
        <v/>
      </c>
      <c r="J1710" s="38" t="str">
        <f t="shared" si="279"/>
        <v xml:space="preserve"> </v>
      </c>
      <c r="K1710" s="39">
        <f t="shared" si="280"/>
        <v>0</v>
      </c>
      <c r="L1710" s="39" t="str">
        <f t="shared" si="281"/>
        <v/>
      </c>
      <c r="M1710" s="40" t="str">
        <f t="shared" si="282"/>
        <v xml:space="preserve"> </v>
      </c>
      <c r="N1710" s="41" t="str">
        <f t="shared" ca="1" si="283"/>
        <v/>
      </c>
      <c r="O1710" s="41" t="str">
        <f t="shared" si="284"/>
        <v xml:space="preserve"> </v>
      </c>
      <c r="P1710" s="60">
        <f t="shared" si="285"/>
        <v>0</v>
      </c>
    </row>
    <row r="1711" spans="1:16" ht="15" customHeight="1">
      <c r="A1711" s="28">
        <v>0</v>
      </c>
      <c r="B1711" s="28" t="s">
        <v>1053</v>
      </c>
      <c r="C1711" s="129" t="s">
        <v>1050</v>
      </c>
      <c r="D1711" s="128">
        <v>0</v>
      </c>
      <c r="E1711" s="128" t="s">
        <v>1050</v>
      </c>
      <c r="F1711" s="29" t="s">
        <v>1050</v>
      </c>
      <c r="G1711" s="56" t="str">
        <f t="shared" ca="1" si="269"/>
        <v/>
      </c>
      <c r="H1711" s="28" t="str">
        <f t="shared" ca="1" si="278"/>
        <v/>
      </c>
      <c r="J1711" s="38" t="str">
        <f t="shared" si="279"/>
        <v xml:space="preserve"> </v>
      </c>
      <c r="K1711" s="39">
        <f t="shared" si="280"/>
        <v>0</v>
      </c>
      <c r="L1711" s="39" t="str">
        <f t="shared" si="281"/>
        <v/>
      </c>
      <c r="M1711" s="40" t="str">
        <f t="shared" si="282"/>
        <v xml:space="preserve"> </v>
      </c>
      <c r="N1711" s="41" t="str">
        <f t="shared" ca="1" si="283"/>
        <v/>
      </c>
      <c r="O1711" s="41" t="str">
        <f t="shared" si="284"/>
        <v xml:space="preserve"> </v>
      </c>
      <c r="P1711" s="60">
        <f t="shared" si="285"/>
        <v>0</v>
      </c>
    </row>
    <row r="1712" spans="1:16" ht="15" customHeight="1">
      <c r="A1712" s="28">
        <v>0</v>
      </c>
      <c r="B1712" s="28" t="s">
        <v>1053</v>
      </c>
      <c r="C1712" s="129" t="s">
        <v>1050</v>
      </c>
      <c r="D1712" s="128">
        <v>0</v>
      </c>
      <c r="E1712" s="128" t="s">
        <v>1050</v>
      </c>
      <c r="F1712" s="29" t="s">
        <v>1050</v>
      </c>
      <c r="G1712" s="56" t="str">
        <f t="shared" ca="1" si="269"/>
        <v/>
      </c>
      <c r="H1712" s="28" t="str">
        <f t="shared" ca="1" si="278"/>
        <v/>
      </c>
      <c r="J1712" s="38" t="str">
        <f t="shared" si="279"/>
        <v xml:space="preserve"> </v>
      </c>
      <c r="K1712" s="39">
        <f t="shared" si="280"/>
        <v>0</v>
      </c>
      <c r="L1712" s="39" t="str">
        <f t="shared" si="281"/>
        <v/>
      </c>
      <c r="M1712" s="40" t="str">
        <f t="shared" si="282"/>
        <v xml:space="preserve"> </v>
      </c>
      <c r="N1712" s="41" t="str">
        <f t="shared" ca="1" si="283"/>
        <v/>
      </c>
      <c r="O1712" s="41" t="str">
        <f t="shared" si="284"/>
        <v xml:space="preserve"> </v>
      </c>
      <c r="P1712" s="60">
        <f t="shared" si="285"/>
        <v>0</v>
      </c>
    </row>
    <row r="1713" spans="1:16" ht="15" customHeight="1">
      <c r="A1713" s="28">
        <v>0</v>
      </c>
      <c r="B1713" s="28" t="s">
        <v>1053</v>
      </c>
      <c r="C1713" s="129" t="s">
        <v>1050</v>
      </c>
      <c r="D1713" s="128">
        <v>0</v>
      </c>
      <c r="E1713" s="128" t="s">
        <v>1050</v>
      </c>
      <c r="F1713" s="29" t="s">
        <v>1050</v>
      </c>
      <c r="G1713" s="56" t="str">
        <f t="shared" ca="1" si="269"/>
        <v/>
      </c>
      <c r="H1713" s="28" t="str">
        <f t="shared" ca="1" si="278"/>
        <v/>
      </c>
      <c r="J1713" s="38" t="str">
        <f t="shared" si="279"/>
        <v xml:space="preserve"> </v>
      </c>
      <c r="K1713" s="39">
        <f t="shared" si="280"/>
        <v>0</v>
      </c>
      <c r="L1713" s="39" t="str">
        <f t="shared" si="281"/>
        <v/>
      </c>
      <c r="M1713" s="40" t="str">
        <f t="shared" si="282"/>
        <v xml:space="preserve"> </v>
      </c>
      <c r="N1713" s="41" t="str">
        <f t="shared" ca="1" si="283"/>
        <v/>
      </c>
      <c r="O1713" s="41" t="str">
        <f t="shared" si="284"/>
        <v xml:space="preserve"> </v>
      </c>
      <c r="P1713" s="60">
        <f t="shared" si="285"/>
        <v>0</v>
      </c>
    </row>
    <row r="1714" spans="1:16" ht="15" customHeight="1">
      <c r="A1714" s="28">
        <v>0</v>
      </c>
      <c r="B1714" s="28" t="s">
        <v>1053</v>
      </c>
      <c r="C1714" s="129" t="s">
        <v>1050</v>
      </c>
      <c r="D1714" s="128">
        <v>0</v>
      </c>
      <c r="E1714" s="128" t="s">
        <v>1050</v>
      </c>
      <c r="F1714" s="29" t="s">
        <v>1050</v>
      </c>
      <c r="G1714" s="56" t="str">
        <f t="shared" ca="1" si="269"/>
        <v/>
      </c>
      <c r="H1714" s="28" t="str">
        <f t="shared" ca="1" si="278"/>
        <v/>
      </c>
      <c r="J1714" s="38" t="str">
        <f t="shared" si="279"/>
        <v xml:space="preserve"> </v>
      </c>
      <c r="K1714" s="39">
        <f t="shared" si="280"/>
        <v>0</v>
      </c>
      <c r="L1714" s="39" t="str">
        <f t="shared" si="281"/>
        <v/>
      </c>
      <c r="M1714" s="40" t="str">
        <f t="shared" si="282"/>
        <v xml:space="preserve"> </v>
      </c>
      <c r="N1714" s="41" t="str">
        <f t="shared" ca="1" si="283"/>
        <v/>
      </c>
      <c r="O1714" s="41" t="str">
        <f t="shared" si="284"/>
        <v xml:space="preserve"> </v>
      </c>
      <c r="P1714" s="60">
        <f t="shared" si="285"/>
        <v>0</v>
      </c>
    </row>
    <row r="1715" spans="1:16" ht="15" customHeight="1">
      <c r="A1715" s="28">
        <v>0</v>
      </c>
      <c r="B1715" s="28" t="s">
        <v>1053</v>
      </c>
      <c r="C1715" s="129" t="s">
        <v>1050</v>
      </c>
      <c r="D1715" s="128">
        <v>0</v>
      </c>
      <c r="E1715" s="128" t="s">
        <v>1050</v>
      </c>
      <c r="F1715" s="29" t="s">
        <v>1050</v>
      </c>
      <c r="G1715" s="56" t="str">
        <f t="shared" ca="1" si="269"/>
        <v/>
      </c>
      <c r="H1715" s="28" t="str">
        <f t="shared" ca="1" si="278"/>
        <v/>
      </c>
      <c r="J1715" s="38" t="str">
        <f t="shared" si="279"/>
        <v xml:space="preserve"> </v>
      </c>
      <c r="K1715" s="39">
        <f t="shared" si="280"/>
        <v>0</v>
      </c>
      <c r="L1715" s="39" t="str">
        <f t="shared" si="281"/>
        <v/>
      </c>
      <c r="M1715" s="40" t="str">
        <f t="shared" si="282"/>
        <v xml:space="preserve"> </v>
      </c>
      <c r="N1715" s="41" t="str">
        <f t="shared" ca="1" si="283"/>
        <v/>
      </c>
      <c r="O1715" s="41" t="str">
        <f t="shared" si="284"/>
        <v xml:space="preserve"> </v>
      </c>
      <c r="P1715" s="60">
        <f t="shared" si="285"/>
        <v>0</v>
      </c>
    </row>
    <row r="1716" spans="1:16" ht="15" customHeight="1">
      <c r="A1716" s="28">
        <v>0</v>
      </c>
      <c r="B1716" s="28" t="s">
        <v>1053</v>
      </c>
      <c r="C1716" s="129" t="s">
        <v>1050</v>
      </c>
      <c r="D1716" s="128">
        <v>0</v>
      </c>
      <c r="E1716" s="128" t="s">
        <v>1050</v>
      </c>
      <c r="F1716" s="29" t="s">
        <v>1050</v>
      </c>
      <c r="G1716" s="56" t="str">
        <f t="shared" ca="1" si="269"/>
        <v/>
      </c>
      <c r="H1716" s="28" t="str">
        <f t="shared" ca="1" si="278"/>
        <v/>
      </c>
      <c r="J1716" s="38" t="str">
        <f t="shared" si="279"/>
        <v xml:space="preserve"> </v>
      </c>
      <c r="K1716" s="39">
        <f t="shared" si="280"/>
        <v>0</v>
      </c>
      <c r="L1716" s="39" t="str">
        <f t="shared" si="281"/>
        <v/>
      </c>
      <c r="M1716" s="40" t="str">
        <f t="shared" si="282"/>
        <v xml:space="preserve"> </v>
      </c>
      <c r="N1716" s="41" t="str">
        <f t="shared" ca="1" si="283"/>
        <v/>
      </c>
      <c r="O1716" s="41" t="str">
        <f t="shared" si="284"/>
        <v xml:space="preserve"> </v>
      </c>
      <c r="P1716" s="60">
        <f t="shared" si="285"/>
        <v>0</v>
      </c>
    </row>
    <row r="1717" spans="1:16" ht="15" customHeight="1">
      <c r="A1717" s="28">
        <v>0</v>
      </c>
      <c r="B1717" s="28" t="s">
        <v>1053</v>
      </c>
      <c r="C1717" s="129" t="s">
        <v>1050</v>
      </c>
      <c r="D1717" s="128">
        <v>0</v>
      </c>
      <c r="E1717" s="128" t="s">
        <v>1050</v>
      </c>
      <c r="F1717" s="29" t="s">
        <v>1050</v>
      </c>
      <c r="G1717" s="56" t="str">
        <f t="shared" ca="1" si="269"/>
        <v/>
      </c>
      <c r="H1717" s="28" t="str">
        <f t="shared" ca="1" si="278"/>
        <v/>
      </c>
      <c r="J1717" s="38" t="str">
        <f t="shared" si="279"/>
        <v xml:space="preserve"> </v>
      </c>
      <c r="K1717" s="39">
        <f t="shared" si="280"/>
        <v>0</v>
      </c>
      <c r="L1717" s="39" t="str">
        <f t="shared" si="281"/>
        <v/>
      </c>
      <c r="M1717" s="40" t="str">
        <f t="shared" si="282"/>
        <v xml:space="preserve"> </v>
      </c>
      <c r="N1717" s="41" t="str">
        <f t="shared" ca="1" si="283"/>
        <v/>
      </c>
      <c r="O1717" s="41" t="str">
        <f t="shared" si="284"/>
        <v xml:space="preserve"> </v>
      </c>
      <c r="P1717" s="60">
        <f t="shared" si="285"/>
        <v>0</v>
      </c>
    </row>
    <row r="1718" spans="1:16" ht="15" customHeight="1">
      <c r="A1718" s="28">
        <v>0</v>
      </c>
      <c r="B1718" s="28" t="s">
        <v>1053</v>
      </c>
      <c r="C1718" s="129" t="s">
        <v>1050</v>
      </c>
      <c r="D1718" s="128">
        <v>0</v>
      </c>
      <c r="E1718" s="128" t="s">
        <v>1050</v>
      </c>
      <c r="F1718" s="29" t="s">
        <v>1050</v>
      </c>
      <c r="G1718" s="56" t="str">
        <f t="shared" ca="1" si="269"/>
        <v/>
      </c>
      <c r="H1718" s="28" t="str">
        <f t="shared" ca="1" si="278"/>
        <v/>
      </c>
      <c r="J1718" s="38" t="str">
        <f t="shared" si="279"/>
        <v xml:space="preserve"> </v>
      </c>
      <c r="K1718" s="39">
        <f t="shared" si="280"/>
        <v>0</v>
      </c>
      <c r="L1718" s="39" t="str">
        <f t="shared" si="281"/>
        <v/>
      </c>
      <c r="M1718" s="40" t="str">
        <f t="shared" si="282"/>
        <v xml:space="preserve"> </v>
      </c>
      <c r="N1718" s="41" t="str">
        <f t="shared" ca="1" si="283"/>
        <v/>
      </c>
      <c r="O1718" s="41" t="str">
        <f t="shared" si="284"/>
        <v xml:space="preserve"> </v>
      </c>
      <c r="P1718" s="60">
        <f t="shared" si="285"/>
        <v>0</v>
      </c>
    </row>
    <row r="1719" spans="1:16" ht="15" customHeight="1">
      <c r="A1719" s="28">
        <v>0</v>
      </c>
      <c r="B1719" s="28" t="s">
        <v>1053</v>
      </c>
      <c r="C1719" s="129" t="s">
        <v>1050</v>
      </c>
      <c r="D1719" s="128">
        <v>0</v>
      </c>
      <c r="E1719" s="128" t="s">
        <v>1050</v>
      </c>
      <c r="F1719" s="29" t="s">
        <v>1050</v>
      </c>
      <c r="G1719" s="56" t="str">
        <f t="shared" ca="1" si="269"/>
        <v/>
      </c>
      <c r="H1719" s="28" t="str">
        <f t="shared" ca="1" si="278"/>
        <v/>
      </c>
      <c r="J1719" s="38" t="str">
        <f t="shared" si="279"/>
        <v xml:space="preserve"> </v>
      </c>
      <c r="K1719" s="39">
        <f t="shared" si="280"/>
        <v>0</v>
      </c>
      <c r="L1719" s="39" t="str">
        <f t="shared" si="281"/>
        <v/>
      </c>
      <c r="M1719" s="40" t="str">
        <f t="shared" si="282"/>
        <v xml:space="preserve"> </v>
      </c>
      <c r="N1719" s="41" t="str">
        <f t="shared" ca="1" si="283"/>
        <v/>
      </c>
      <c r="O1719" s="41" t="str">
        <f t="shared" si="284"/>
        <v xml:space="preserve"> </v>
      </c>
      <c r="P1719" s="60">
        <f t="shared" si="285"/>
        <v>0</v>
      </c>
    </row>
    <row r="1720" spans="1:16" ht="15" customHeight="1">
      <c r="A1720" s="28">
        <v>0</v>
      </c>
      <c r="B1720" s="28" t="s">
        <v>1053</v>
      </c>
      <c r="C1720" s="129" t="s">
        <v>1050</v>
      </c>
      <c r="D1720" s="128">
        <v>0</v>
      </c>
      <c r="E1720" s="128" t="s">
        <v>1050</v>
      </c>
      <c r="F1720" s="29" t="s">
        <v>1050</v>
      </c>
      <c r="G1720" s="56" t="str">
        <f t="shared" ca="1" si="269"/>
        <v/>
      </c>
      <c r="H1720" s="28" t="str">
        <f t="shared" ca="1" si="278"/>
        <v/>
      </c>
      <c r="J1720" s="38" t="str">
        <f t="shared" si="279"/>
        <v xml:space="preserve"> </v>
      </c>
      <c r="K1720" s="39">
        <f t="shared" si="280"/>
        <v>0</v>
      </c>
      <c r="L1720" s="39" t="str">
        <f t="shared" si="281"/>
        <v/>
      </c>
      <c r="M1720" s="40" t="str">
        <f t="shared" si="282"/>
        <v xml:space="preserve"> </v>
      </c>
      <c r="N1720" s="41" t="str">
        <f t="shared" ca="1" si="283"/>
        <v/>
      </c>
      <c r="O1720" s="41" t="str">
        <f t="shared" si="284"/>
        <v xml:space="preserve"> </v>
      </c>
      <c r="P1720" s="60">
        <f t="shared" si="285"/>
        <v>0</v>
      </c>
    </row>
    <row r="1721" spans="1:16" ht="15" customHeight="1">
      <c r="A1721" s="28">
        <v>0</v>
      </c>
      <c r="B1721" s="28" t="s">
        <v>1053</v>
      </c>
      <c r="C1721" s="129" t="s">
        <v>1050</v>
      </c>
      <c r="D1721" s="128">
        <v>0</v>
      </c>
      <c r="E1721" s="128" t="s">
        <v>1050</v>
      </c>
      <c r="F1721" s="29" t="s">
        <v>1050</v>
      </c>
      <c r="G1721" s="56" t="str">
        <f t="shared" ca="1" si="269"/>
        <v/>
      </c>
      <c r="H1721" s="28" t="str">
        <f t="shared" ca="1" si="278"/>
        <v/>
      </c>
      <c r="J1721" s="38" t="str">
        <f t="shared" si="279"/>
        <v xml:space="preserve"> </v>
      </c>
      <c r="K1721" s="39">
        <f t="shared" si="280"/>
        <v>0</v>
      </c>
      <c r="L1721" s="39" t="str">
        <f t="shared" si="281"/>
        <v/>
      </c>
      <c r="M1721" s="40" t="str">
        <f t="shared" si="282"/>
        <v xml:space="preserve"> </v>
      </c>
      <c r="N1721" s="41" t="str">
        <f t="shared" ca="1" si="283"/>
        <v/>
      </c>
      <c r="O1721" s="41" t="str">
        <f t="shared" si="284"/>
        <v xml:space="preserve"> </v>
      </c>
      <c r="P1721" s="60">
        <f t="shared" si="285"/>
        <v>0</v>
      </c>
    </row>
    <row r="1722" spans="1:16" ht="15" customHeight="1">
      <c r="A1722" s="28">
        <v>0</v>
      </c>
      <c r="B1722" s="28" t="s">
        <v>1053</v>
      </c>
      <c r="C1722" s="129" t="s">
        <v>1050</v>
      </c>
      <c r="D1722" s="128">
        <v>0</v>
      </c>
      <c r="E1722" s="128" t="s">
        <v>1050</v>
      </c>
      <c r="F1722" s="29" t="s">
        <v>1050</v>
      </c>
      <c r="G1722" s="56" t="str">
        <f t="shared" ca="1" si="269"/>
        <v/>
      </c>
      <c r="H1722" s="28" t="str">
        <f t="shared" ca="1" si="278"/>
        <v/>
      </c>
      <c r="J1722" s="38" t="str">
        <f t="shared" si="279"/>
        <v xml:space="preserve"> </v>
      </c>
      <c r="K1722" s="39">
        <f t="shared" si="280"/>
        <v>0</v>
      </c>
      <c r="L1722" s="39" t="str">
        <f t="shared" si="281"/>
        <v/>
      </c>
      <c r="M1722" s="40" t="str">
        <f t="shared" si="282"/>
        <v xml:space="preserve"> </v>
      </c>
      <c r="N1722" s="41" t="str">
        <f t="shared" ca="1" si="283"/>
        <v/>
      </c>
      <c r="O1722" s="41" t="str">
        <f t="shared" si="284"/>
        <v xml:space="preserve"> </v>
      </c>
      <c r="P1722" s="60">
        <f t="shared" si="285"/>
        <v>0</v>
      </c>
    </row>
    <row r="1723" spans="1:16" ht="15" customHeight="1">
      <c r="A1723" s="28">
        <v>0</v>
      </c>
      <c r="B1723" s="28" t="s">
        <v>1053</v>
      </c>
      <c r="C1723" s="129" t="s">
        <v>1050</v>
      </c>
      <c r="D1723" s="128">
        <v>0</v>
      </c>
      <c r="E1723" s="128" t="s">
        <v>1050</v>
      </c>
      <c r="F1723" s="29" t="s">
        <v>1050</v>
      </c>
      <c r="G1723" s="56" t="str">
        <f t="shared" ca="1" si="269"/>
        <v/>
      </c>
      <c r="H1723" s="28" t="str">
        <f t="shared" ca="1" si="278"/>
        <v/>
      </c>
      <c r="J1723" s="38" t="str">
        <f t="shared" si="279"/>
        <v xml:space="preserve"> </v>
      </c>
      <c r="K1723" s="39">
        <f t="shared" si="280"/>
        <v>0</v>
      </c>
      <c r="L1723" s="39" t="str">
        <f t="shared" si="281"/>
        <v/>
      </c>
      <c r="M1723" s="40" t="str">
        <f t="shared" si="282"/>
        <v xml:space="preserve"> </v>
      </c>
      <c r="N1723" s="41" t="str">
        <f t="shared" ca="1" si="283"/>
        <v/>
      </c>
      <c r="O1723" s="41" t="str">
        <f t="shared" si="284"/>
        <v xml:space="preserve"> </v>
      </c>
      <c r="P1723" s="60">
        <f t="shared" si="285"/>
        <v>0</v>
      </c>
    </row>
    <row r="1724" spans="1:16" ht="15" customHeight="1">
      <c r="A1724" s="28">
        <v>0</v>
      </c>
      <c r="B1724" s="28" t="s">
        <v>1053</v>
      </c>
      <c r="C1724" s="129" t="s">
        <v>1050</v>
      </c>
      <c r="D1724" s="128">
        <v>0</v>
      </c>
      <c r="E1724" s="128" t="s">
        <v>1050</v>
      </c>
      <c r="F1724" s="29" t="s">
        <v>1050</v>
      </c>
      <c r="G1724" s="56" t="str">
        <f t="shared" ca="1" si="269"/>
        <v/>
      </c>
      <c r="H1724" s="28" t="str">
        <f t="shared" ca="1" si="278"/>
        <v/>
      </c>
      <c r="J1724" s="38" t="str">
        <f t="shared" si="279"/>
        <v xml:space="preserve"> </v>
      </c>
      <c r="K1724" s="39">
        <f t="shared" si="280"/>
        <v>0</v>
      </c>
      <c r="L1724" s="39" t="str">
        <f t="shared" si="281"/>
        <v/>
      </c>
      <c r="M1724" s="40" t="str">
        <f t="shared" si="282"/>
        <v xml:space="preserve"> </v>
      </c>
      <c r="N1724" s="41" t="str">
        <f t="shared" ca="1" si="283"/>
        <v/>
      </c>
      <c r="O1724" s="41" t="str">
        <f t="shared" si="284"/>
        <v xml:space="preserve"> </v>
      </c>
      <c r="P1724" s="60">
        <f t="shared" si="285"/>
        <v>0</v>
      </c>
    </row>
    <row r="1725" spans="1:16" ht="15" customHeight="1">
      <c r="A1725" s="28">
        <v>0</v>
      </c>
      <c r="B1725" s="28" t="s">
        <v>1053</v>
      </c>
      <c r="C1725" s="129" t="s">
        <v>1050</v>
      </c>
      <c r="D1725" s="128">
        <v>0</v>
      </c>
      <c r="E1725" s="128" t="s">
        <v>1050</v>
      </c>
      <c r="F1725" s="29" t="s">
        <v>1050</v>
      </c>
      <c r="G1725" s="56" t="str">
        <f t="shared" ca="1" si="269"/>
        <v/>
      </c>
      <c r="H1725" s="28" t="str">
        <f t="shared" ca="1" si="278"/>
        <v/>
      </c>
      <c r="J1725" s="38" t="str">
        <f t="shared" si="279"/>
        <v xml:space="preserve"> </v>
      </c>
      <c r="K1725" s="39">
        <f t="shared" si="280"/>
        <v>0</v>
      </c>
      <c r="L1725" s="39" t="str">
        <f t="shared" si="281"/>
        <v/>
      </c>
      <c r="M1725" s="40" t="str">
        <f t="shared" si="282"/>
        <v xml:space="preserve"> </v>
      </c>
      <c r="N1725" s="41" t="str">
        <f t="shared" ca="1" si="283"/>
        <v/>
      </c>
      <c r="O1725" s="41" t="str">
        <f t="shared" si="284"/>
        <v xml:space="preserve"> </v>
      </c>
      <c r="P1725" s="60">
        <f t="shared" si="285"/>
        <v>0</v>
      </c>
    </row>
    <row r="1726" spans="1:16" ht="15" customHeight="1">
      <c r="A1726" s="28">
        <v>0</v>
      </c>
      <c r="B1726" s="28" t="s">
        <v>1053</v>
      </c>
      <c r="C1726" s="129" t="s">
        <v>1050</v>
      </c>
      <c r="D1726" s="128">
        <v>0</v>
      </c>
      <c r="E1726" s="128" t="s">
        <v>1050</v>
      </c>
      <c r="F1726" s="29" t="s">
        <v>1050</v>
      </c>
      <c r="G1726" s="56" t="str">
        <f t="shared" ca="1" si="269"/>
        <v/>
      </c>
      <c r="H1726" s="28" t="str">
        <f t="shared" ca="1" si="278"/>
        <v/>
      </c>
      <c r="J1726" s="38" t="str">
        <f t="shared" si="279"/>
        <v xml:space="preserve"> </v>
      </c>
      <c r="K1726" s="39">
        <f t="shared" si="280"/>
        <v>0</v>
      </c>
      <c r="L1726" s="39" t="str">
        <f t="shared" si="281"/>
        <v/>
      </c>
      <c r="M1726" s="40" t="str">
        <f t="shared" si="282"/>
        <v xml:space="preserve"> </v>
      </c>
      <c r="N1726" s="41" t="str">
        <f t="shared" ca="1" si="283"/>
        <v/>
      </c>
      <c r="O1726" s="41" t="str">
        <f t="shared" si="284"/>
        <v xml:space="preserve"> </v>
      </c>
      <c r="P1726" s="60">
        <f t="shared" si="285"/>
        <v>0</v>
      </c>
    </row>
    <row r="1727" spans="1:16" ht="15" customHeight="1">
      <c r="A1727" s="28">
        <v>0</v>
      </c>
      <c r="B1727" s="28" t="s">
        <v>1053</v>
      </c>
      <c r="C1727" s="129" t="s">
        <v>1050</v>
      </c>
      <c r="D1727" s="128">
        <v>0</v>
      </c>
      <c r="E1727" s="128" t="s">
        <v>1050</v>
      </c>
      <c r="F1727" s="29" t="s">
        <v>1050</v>
      </c>
      <c r="G1727" s="56" t="str">
        <f t="shared" ca="1" si="269"/>
        <v/>
      </c>
      <c r="H1727" s="28" t="str">
        <f t="shared" ca="1" si="278"/>
        <v/>
      </c>
      <c r="J1727" s="38" t="str">
        <f t="shared" si="279"/>
        <v xml:space="preserve"> </v>
      </c>
      <c r="K1727" s="39">
        <f t="shared" si="280"/>
        <v>0</v>
      </c>
      <c r="L1727" s="39" t="str">
        <f t="shared" si="281"/>
        <v/>
      </c>
      <c r="M1727" s="40" t="str">
        <f t="shared" si="282"/>
        <v xml:space="preserve"> </v>
      </c>
      <c r="N1727" s="41" t="str">
        <f t="shared" ca="1" si="283"/>
        <v/>
      </c>
      <c r="O1727" s="41" t="str">
        <f t="shared" si="284"/>
        <v xml:space="preserve"> </v>
      </c>
      <c r="P1727" s="60">
        <f t="shared" si="285"/>
        <v>0</v>
      </c>
    </row>
    <row r="1728" spans="1:16" ht="15" customHeight="1">
      <c r="A1728" s="28">
        <v>0</v>
      </c>
      <c r="B1728" s="28" t="s">
        <v>1053</v>
      </c>
      <c r="C1728" s="129" t="s">
        <v>1050</v>
      </c>
      <c r="D1728" s="128">
        <v>0</v>
      </c>
      <c r="E1728" s="128" t="s">
        <v>1050</v>
      </c>
      <c r="F1728" s="29" t="s">
        <v>1050</v>
      </c>
      <c r="G1728" s="56" t="str">
        <f t="shared" ca="1" si="269"/>
        <v/>
      </c>
      <c r="H1728" s="28" t="str">
        <f t="shared" ca="1" si="278"/>
        <v/>
      </c>
      <c r="J1728" s="38" t="str">
        <f t="shared" si="279"/>
        <v xml:space="preserve"> </v>
      </c>
      <c r="K1728" s="39">
        <f t="shared" si="280"/>
        <v>0</v>
      </c>
      <c r="L1728" s="39" t="str">
        <f t="shared" si="281"/>
        <v/>
      </c>
      <c r="M1728" s="40" t="str">
        <f t="shared" si="282"/>
        <v xml:space="preserve"> </v>
      </c>
      <c r="N1728" s="41" t="str">
        <f t="shared" ca="1" si="283"/>
        <v/>
      </c>
      <c r="O1728" s="41" t="str">
        <f t="shared" si="284"/>
        <v xml:space="preserve"> </v>
      </c>
      <c r="P1728" s="60">
        <f t="shared" si="285"/>
        <v>0</v>
      </c>
    </row>
    <row r="1729" spans="1:16" ht="15" customHeight="1">
      <c r="A1729" s="28">
        <v>0</v>
      </c>
      <c r="B1729" s="28" t="s">
        <v>1053</v>
      </c>
      <c r="C1729" s="129" t="s">
        <v>1050</v>
      </c>
      <c r="D1729" s="128">
        <v>0</v>
      </c>
      <c r="E1729" s="128" t="s">
        <v>1050</v>
      </c>
      <c r="F1729" s="29" t="s">
        <v>1050</v>
      </c>
      <c r="G1729" s="56" t="str">
        <f t="shared" ca="1" si="269"/>
        <v/>
      </c>
      <c r="H1729" s="28" t="str">
        <f t="shared" ca="1" si="278"/>
        <v/>
      </c>
      <c r="J1729" s="38" t="str">
        <f t="shared" si="279"/>
        <v xml:space="preserve"> </v>
      </c>
      <c r="K1729" s="39">
        <f t="shared" si="280"/>
        <v>0</v>
      </c>
      <c r="L1729" s="39" t="str">
        <f t="shared" si="281"/>
        <v/>
      </c>
      <c r="M1729" s="40" t="str">
        <f t="shared" si="282"/>
        <v xml:space="preserve"> </v>
      </c>
      <c r="N1729" s="41" t="str">
        <f t="shared" ca="1" si="283"/>
        <v/>
      </c>
      <c r="O1729" s="41" t="str">
        <f t="shared" si="284"/>
        <v xml:space="preserve"> </v>
      </c>
      <c r="P1729" s="60">
        <f t="shared" si="285"/>
        <v>0</v>
      </c>
    </row>
    <row r="1730" spans="1:16" ht="15" customHeight="1">
      <c r="A1730" s="28">
        <v>0</v>
      </c>
      <c r="B1730" s="28" t="s">
        <v>1053</v>
      </c>
      <c r="C1730" s="129" t="s">
        <v>1050</v>
      </c>
      <c r="D1730" s="128">
        <v>0</v>
      </c>
      <c r="E1730" s="128" t="s">
        <v>1050</v>
      </c>
      <c r="F1730" s="29" t="s">
        <v>1050</v>
      </c>
      <c r="G1730" s="56" t="str">
        <f t="shared" ca="1" si="269"/>
        <v/>
      </c>
      <c r="H1730" s="28" t="str">
        <f t="shared" ca="1" si="278"/>
        <v/>
      </c>
      <c r="J1730" s="38" t="str">
        <f t="shared" si="279"/>
        <v xml:space="preserve"> </v>
      </c>
      <c r="K1730" s="39">
        <f t="shared" si="280"/>
        <v>0</v>
      </c>
      <c r="L1730" s="39" t="str">
        <f t="shared" si="281"/>
        <v/>
      </c>
      <c r="M1730" s="40" t="str">
        <f t="shared" si="282"/>
        <v xml:space="preserve"> </v>
      </c>
      <c r="N1730" s="41" t="str">
        <f t="shared" ca="1" si="283"/>
        <v/>
      </c>
      <c r="O1730" s="41" t="str">
        <f t="shared" si="284"/>
        <v xml:space="preserve"> </v>
      </c>
      <c r="P1730" s="60">
        <f t="shared" si="285"/>
        <v>0</v>
      </c>
    </row>
    <row r="1731" spans="1:16" ht="15" customHeight="1">
      <c r="A1731" s="28">
        <v>0</v>
      </c>
      <c r="B1731" s="28" t="s">
        <v>1053</v>
      </c>
      <c r="C1731" s="129" t="s">
        <v>1050</v>
      </c>
      <c r="D1731" s="128">
        <v>0</v>
      </c>
      <c r="E1731" s="128" t="s">
        <v>1050</v>
      </c>
      <c r="F1731" s="29" t="s">
        <v>1050</v>
      </c>
      <c r="G1731" s="56" t="str">
        <f t="shared" ref="G1731:G1794" ca="1" si="286">IFERROR(IF(YEAR(TODAY())-YEAR(F1731)&lt;7," ",IF(YEAR(TODAY())-YEAR(F1731)&lt;10,"Benjamim A",IF(YEAR(TODAY())-YEAR(F1731)&lt;12,"Benjamim B",IF(YEAR(TODAY())-YEAR(F1731)&lt;14,"Infantil",IF(YEAR(TODAY())-YEAR(F1731)&lt;16,"Iniciado",IF(YEAR(TODAY())-YEAR(F1731)&lt;18,"Juvenil",IF(YEAR(TODAY())-YEAR(F1731)&lt;20,"Júnior",IF(YEAR(TODAY())-YEAR(F1731)&lt;23,"sub 23",IF(ROUNDDOWN(INT(TODAY()-F1731)/365.25,0)&lt;35,"Sénior",IF(ROUNDDOWN(INT(TODAY()-F1731)/365.25,0)&lt;40,"V 35",IF(ROUNDDOWN(INT(TODAY()-F1731)/365.25,0)&lt;45,"V 40",IF(ROUNDDOWN(INT(TODAY()-F1731)/365.25,0)&lt;50,"V 45",IF(ROUNDDOWN(INT(TODAY()-F1731)/365.25,0)&lt;55,"V 50",IF(ROUNDDOWN(INT(TODAY()-F1731)/365.25,0)&lt;60,"V 55",IF(ROUNDDOWN(INT(TODAY()-F1731)/365.25,0)&lt;65,"V 60",IF(ROUNDDOWN(INT(TODAY()-F1731)/365.25,0)&lt;70,"V 65",IF(ROUNDDOWN(INT(TODAY()-F1731)/365.25,0)&lt;75,"V 70",IF(ROUNDDOWN(INT(TODAY()-F1731)/365.25,0)&lt;80,"V 75",IF(ROUNDDOWN(INT(TODAY()-F1731)/365.25,0)&lt;85,"V 80",IF(ROUNDDOWN(INT(TODAY()-F1731)/365.25,0)&lt;90,"V 85",IF(ROUNDDOWN(INT(TODAY()-F1731)/365.25,0)&lt;95,"V 90",IF(ROUNDDOWN(INT(TODAY()-F1731)/365.25,0)&lt;100,"V 95",IF(ROUNDDOWN(INT(TODAY()-F1731)/365.25,0)&gt;=100,"V 100",""))))))))))))))))))))))),"")</f>
        <v/>
      </c>
      <c r="H1731" s="28" t="str">
        <f t="shared" ca="1" si="278"/>
        <v/>
      </c>
      <c r="J1731" s="38" t="str">
        <f t="shared" si="279"/>
        <v xml:space="preserve"> </v>
      </c>
      <c r="K1731" s="39">
        <f t="shared" si="280"/>
        <v>0</v>
      </c>
      <c r="L1731" s="39" t="str">
        <f t="shared" si="281"/>
        <v/>
      </c>
      <c r="M1731" s="40" t="str">
        <f t="shared" si="282"/>
        <v xml:space="preserve"> </v>
      </c>
      <c r="N1731" s="41" t="str">
        <f t="shared" ca="1" si="283"/>
        <v/>
      </c>
      <c r="O1731" s="41" t="str">
        <f t="shared" si="284"/>
        <v xml:space="preserve"> </v>
      </c>
      <c r="P1731" s="60">
        <f t="shared" si="285"/>
        <v>0</v>
      </c>
    </row>
    <row r="1732" spans="1:16" ht="15" customHeight="1">
      <c r="A1732" s="28">
        <v>0</v>
      </c>
      <c r="B1732" s="28" t="s">
        <v>1053</v>
      </c>
      <c r="C1732" s="129" t="s">
        <v>1050</v>
      </c>
      <c r="D1732" s="128">
        <v>0</v>
      </c>
      <c r="E1732" s="128" t="s">
        <v>1050</v>
      </c>
      <c r="F1732" s="29" t="s">
        <v>1050</v>
      </c>
      <c r="G1732" s="56" t="str">
        <f t="shared" ca="1" si="286"/>
        <v/>
      </c>
      <c r="H1732" s="28" t="str">
        <f t="shared" ca="1" si="278"/>
        <v/>
      </c>
      <c r="J1732" s="38" t="str">
        <f t="shared" si="279"/>
        <v xml:space="preserve"> </v>
      </c>
      <c r="K1732" s="39">
        <f t="shared" si="280"/>
        <v>0</v>
      </c>
      <c r="L1732" s="39" t="str">
        <f t="shared" si="281"/>
        <v/>
      </c>
      <c r="M1732" s="40" t="str">
        <f t="shared" si="282"/>
        <v xml:space="preserve"> </v>
      </c>
      <c r="N1732" s="41" t="str">
        <f t="shared" ca="1" si="283"/>
        <v/>
      </c>
      <c r="O1732" s="41" t="str">
        <f t="shared" si="284"/>
        <v xml:space="preserve"> </v>
      </c>
      <c r="P1732" s="60">
        <f t="shared" si="285"/>
        <v>0</v>
      </c>
    </row>
    <row r="1733" spans="1:16" ht="15" customHeight="1">
      <c r="A1733" s="28">
        <v>0</v>
      </c>
      <c r="B1733" s="28" t="s">
        <v>1053</v>
      </c>
      <c r="C1733" s="129" t="s">
        <v>1050</v>
      </c>
      <c r="D1733" s="128">
        <v>0</v>
      </c>
      <c r="E1733" s="128" t="s">
        <v>1050</v>
      </c>
      <c r="F1733" s="29" t="s">
        <v>1050</v>
      </c>
      <c r="G1733" s="56" t="str">
        <f t="shared" ca="1" si="286"/>
        <v/>
      </c>
      <c r="H1733" s="28" t="str">
        <f t="shared" ca="1" si="278"/>
        <v/>
      </c>
      <c r="J1733" s="38" t="str">
        <f t="shared" si="279"/>
        <v xml:space="preserve"> </v>
      </c>
      <c r="K1733" s="39">
        <f t="shared" si="280"/>
        <v>0</v>
      </c>
      <c r="L1733" s="39" t="str">
        <f t="shared" si="281"/>
        <v/>
      </c>
      <c r="M1733" s="40" t="str">
        <f t="shared" si="282"/>
        <v xml:space="preserve"> </v>
      </c>
      <c r="N1733" s="41" t="str">
        <f t="shared" ca="1" si="283"/>
        <v/>
      </c>
      <c r="O1733" s="41" t="str">
        <f t="shared" si="284"/>
        <v xml:space="preserve"> </v>
      </c>
      <c r="P1733" s="60">
        <f t="shared" si="285"/>
        <v>0</v>
      </c>
    </row>
    <row r="1734" spans="1:16" ht="15" customHeight="1">
      <c r="A1734" s="28">
        <v>0</v>
      </c>
      <c r="B1734" s="28" t="s">
        <v>1053</v>
      </c>
      <c r="C1734" s="129" t="s">
        <v>1050</v>
      </c>
      <c r="D1734" s="128">
        <v>0</v>
      </c>
      <c r="E1734" s="128" t="s">
        <v>1050</v>
      </c>
      <c r="F1734" s="29" t="s">
        <v>1050</v>
      </c>
      <c r="G1734" s="56" t="str">
        <f t="shared" ca="1" si="286"/>
        <v/>
      </c>
      <c r="H1734" s="28" t="str">
        <f t="shared" ca="1" si="278"/>
        <v/>
      </c>
      <c r="J1734" s="38" t="str">
        <f t="shared" si="279"/>
        <v xml:space="preserve"> </v>
      </c>
      <c r="K1734" s="39">
        <f t="shared" si="280"/>
        <v>0</v>
      </c>
      <c r="L1734" s="39" t="str">
        <f t="shared" si="281"/>
        <v/>
      </c>
      <c r="M1734" s="40" t="str">
        <f t="shared" si="282"/>
        <v xml:space="preserve"> </v>
      </c>
      <c r="N1734" s="41" t="str">
        <f t="shared" ca="1" si="283"/>
        <v/>
      </c>
      <c r="O1734" s="41" t="str">
        <f t="shared" si="284"/>
        <v xml:space="preserve"> </v>
      </c>
      <c r="P1734" s="60">
        <f t="shared" si="285"/>
        <v>0</v>
      </c>
    </row>
    <row r="1735" spans="1:16" ht="15" customHeight="1">
      <c r="A1735" s="28">
        <v>0</v>
      </c>
      <c r="B1735" s="28" t="s">
        <v>1053</v>
      </c>
      <c r="C1735" s="129" t="s">
        <v>1050</v>
      </c>
      <c r="D1735" s="128">
        <v>0</v>
      </c>
      <c r="E1735" s="128" t="s">
        <v>1050</v>
      </c>
      <c r="F1735" s="29" t="s">
        <v>1050</v>
      </c>
      <c r="G1735" s="56" t="str">
        <f t="shared" ca="1" si="286"/>
        <v/>
      </c>
      <c r="H1735" s="28" t="str">
        <f t="shared" ca="1" si="278"/>
        <v/>
      </c>
      <c r="J1735" s="38" t="str">
        <f t="shared" si="279"/>
        <v xml:space="preserve"> </v>
      </c>
      <c r="K1735" s="39">
        <f t="shared" si="280"/>
        <v>0</v>
      </c>
      <c r="L1735" s="39" t="str">
        <f t="shared" si="281"/>
        <v/>
      </c>
      <c r="M1735" s="40" t="str">
        <f t="shared" si="282"/>
        <v xml:space="preserve"> </v>
      </c>
      <c r="N1735" s="41" t="str">
        <f t="shared" ca="1" si="283"/>
        <v/>
      </c>
      <c r="O1735" s="41" t="str">
        <f t="shared" si="284"/>
        <v xml:space="preserve"> </v>
      </c>
      <c r="P1735" s="60">
        <f t="shared" si="285"/>
        <v>0</v>
      </c>
    </row>
    <row r="1736" spans="1:16" ht="15" customHeight="1">
      <c r="A1736" s="28">
        <v>0</v>
      </c>
      <c r="B1736" s="28" t="s">
        <v>1053</v>
      </c>
      <c r="C1736" s="129" t="s">
        <v>1050</v>
      </c>
      <c r="D1736" s="128">
        <v>0</v>
      </c>
      <c r="E1736" s="128" t="s">
        <v>1050</v>
      </c>
      <c r="F1736" s="29" t="s">
        <v>1050</v>
      </c>
      <c r="G1736" s="56" t="str">
        <f t="shared" ca="1" si="286"/>
        <v/>
      </c>
      <c r="H1736" s="28" t="str">
        <f t="shared" ca="1" si="278"/>
        <v/>
      </c>
      <c r="J1736" s="38" t="str">
        <f t="shared" si="279"/>
        <v xml:space="preserve"> </v>
      </c>
      <c r="K1736" s="39">
        <f t="shared" si="280"/>
        <v>0</v>
      </c>
      <c r="L1736" s="39" t="str">
        <f t="shared" si="281"/>
        <v/>
      </c>
      <c r="M1736" s="40" t="str">
        <f t="shared" si="282"/>
        <v xml:space="preserve"> </v>
      </c>
      <c r="N1736" s="41" t="str">
        <f t="shared" ca="1" si="283"/>
        <v/>
      </c>
      <c r="O1736" s="41" t="str">
        <f t="shared" si="284"/>
        <v xml:space="preserve"> </v>
      </c>
      <c r="P1736" s="60">
        <f t="shared" si="285"/>
        <v>0</v>
      </c>
    </row>
    <row r="1737" spans="1:16" ht="15" customHeight="1">
      <c r="A1737" s="28">
        <v>0</v>
      </c>
      <c r="B1737" s="28" t="s">
        <v>1053</v>
      </c>
      <c r="C1737" s="129" t="s">
        <v>1050</v>
      </c>
      <c r="D1737" s="128">
        <v>0</v>
      </c>
      <c r="E1737" s="128" t="s">
        <v>1050</v>
      </c>
      <c r="F1737" s="29" t="s">
        <v>1050</v>
      </c>
      <c r="G1737" s="56" t="str">
        <f t="shared" ca="1" si="286"/>
        <v/>
      </c>
      <c r="H1737" s="28" t="str">
        <f t="shared" ca="1" si="278"/>
        <v/>
      </c>
      <c r="J1737" s="38" t="str">
        <f t="shared" si="279"/>
        <v xml:space="preserve"> </v>
      </c>
      <c r="K1737" s="39">
        <f t="shared" si="280"/>
        <v>0</v>
      </c>
      <c r="L1737" s="39" t="str">
        <f t="shared" si="281"/>
        <v/>
      </c>
      <c r="M1737" s="40" t="str">
        <f t="shared" si="282"/>
        <v xml:space="preserve"> </v>
      </c>
      <c r="N1737" s="41" t="str">
        <f t="shared" ca="1" si="283"/>
        <v/>
      </c>
      <c r="O1737" s="41" t="str">
        <f t="shared" si="284"/>
        <v xml:space="preserve"> </v>
      </c>
      <c r="P1737" s="60">
        <f t="shared" si="285"/>
        <v>0</v>
      </c>
    </row>
    <row r="1738" spans="1:16" ht="15" customHeight="1">
      <c r="A1738" s="28">
        <v>0</v>
      </c>
      <c r="B1738" s="28" t="s">
        <v>1053</v>
      </c>
      <c r="C1738" s="129" t="s">
        <v>1050</v>
      </c>
      <c r="D1738" s="128">
        <v>0</v>
      </c>
      <c r="E1738" s="128" t="s">
        <v>1050</v>
      </c>
      <c r="F1738" s="29" t="s">
        <v>1050</v>
      </c>
      <c r="G1738" s="56" t="str">
        <f t="shared" ca="1" si="286"/>
        <v/>
      </c>
      <c r="H1738" s="28" t="str">
        <f t="shared" ca="1" si="278"/>
        <v/>
      </c>
      <c r="J1738" s="38" t="str">
        <f t="shared" si="279"/>
        <v xml:space="preserve"> </v>
      </c>
      <c r="K1738" s="39">
        <f t="shared" si="280"/>
        <v>0</v>
      </c>
      <c r="L1738" s="39" t="str">
        <f t="shared" si="281"/>
        <v/>
      </c>
      <c r="M1738" s="40" t="str">
        <f t="shared" si="282"/>
        <v xml:space="preserve"> </v>
      </c>
      <c r="N1738" s="41" t="str">
        <f t="shared" ca="1" si="283"/>
        <v/>
      </c>
      <c r="O1738" s="41" t="str">
        <f t="shared" si="284"/>
        <v xml:space="preserve"> </v>
      </c>
      <c r="P1738" s="60">
        <f t="shared" si="285"/>
        <v>0</v>
      </c>
    </row>
    <row r="1739" spans="1:16" ht="15" customHeight="1">
      <c r="A1739" s="28">
        <v>0</v>
      </c>
      <c r="B1739" s="28" t="s">
        <v>1053</v>
      </c>
      <c r="C1739" s="129" t="s">
        <v>1050</v>
      </c>
      <c r="D1739" s="128">
        <v>0</v>
      </c>
      <c r="E1739" s="128" t="s">
        <v>1050</v>
      </c>
      <c r="F1739" s="29" t="s">
        <v>1050</v>
      </c>
      <c r="G1739" s="56" t="str">
        <f t="shared" ca="1" si="286"/>
        <v/>
      </c>
      <c r="H1739" s="28" t="str">
        <f t="shared" ca="1" si="278"/>
        <v/>
      </c>
      <c r="J1739" s="38" t="str">
        <f t="shared" si="279"/>
        <v xml:space="preserve"> </v>
      </c>
      <c r="K1739" s="39">
        <f t="shared" si="280"/>
        <v>0</v>
      </c>
      <c r="L1739" s="39" t="str">
        <f t="shared" si="281"/>
        <v/>
      </c>
      <c r="M1739" s="40" t="str">
        <f t="shared" si="282"/>
        <v xml:space="preserve"> </v>
      </c>
      <c r="N1739" s="41" t="str">
        <f t="shared" ca="1" si="283"/>
        <v/>
      </c>
      <c r="O1739" s="41" t="str">
        <f t="shared" si="284"/>
        <v xml:space="preserve"> </v>
      </c>
      <c r="P1739" s="60">
        <f t="shared" si="285"/>
        <v>0</v>
      </c>
    </row>
    <row r="1740" spans="1:16" ht="15" customHeight="1">
      <c r="A1740" s="28">
        <v>0</v>
      </c>
      <c r="B1740" s="28" t="s">
        <v>1053</v>
      </c>
      <c r="C1740" s="129" t="s">
        <v>1050</v>
      </c>
      <c r="D1740" s="128">
        <v>0</v>
      </c>
      <c r="E1740" s="128" t="s">
        <v>1050</v>
      </c>
      <c r="F1740" s="29" t="s">
        <v>1050</v>
      </c>
      <c r="G1740" s="56" t="str">
        <f t="shared" ca="1" si="286"/>
        <v/>
      </c>
      <c r="H1740" s="28" t="str">
        <f t="shared" ca="1" si="278"/>
        <v/>
      </c>
      <c r="J1740" s="38" t="str">
        <f t="shared" si="279"/>
        <v xml:space="preserve"> </v>
      </c>
      <c r="K1740" s="39">
        <f t="shared" si="280"/>
        <v>0</v>
      </c>
      <c r="L1740" s="39" t="str">
        <f t="shared" si="281"/>
        <v/>
      </c>
      <c r="M1740" s="40" t="str">
        <f t="shared" si="282"/>
        <v xml:space="preserve"> </v>
      </c>
      <c r="N1740" s="41" t="str">
        <f t="shared" ca="1" si="283"/>
        <v/>
      </c>
      <c r="O1740" s="41" t="str">
        <f t="shared" si="284"/>
        <v xml:space="preserve"> </v>
      </c>
      <c r="P1740" s="60">
        <f t="shared" si="285"/>
        <v>0</v>
      </c>
    </row>
    <row r="1741" spans="1:16" ht="15" customHeight="1">
      <c r="A1741" s="28">
        <v>0</v>
      </c>
      <c r="B1741" s="28" t="s">
        <v>1053</v>
      </c>
      <c r="C1741" s="129" t="s">
        <v>1050</v>
      </c>
      <c r="D1741" s="128">
        <v>0</v>
      </c>
      <c r="E1741" s="128" t="s">
        <v>1050</v>
      </c>
      <c r="F1741" s="29" t="s">
        <v>1050</v>
      </c>
      <c r="G1741" s="56" t="str">
        <f t="shared" ca="1" si="286"/>
        <v/>
      </c>
      <c r="H1741" s="28" t="str">
        <f t="shared" ca="1" si="278"/>
        <v/>
      </c>
      <c r="J1741" s="38" t="str">
        <f t="shared" si="279"/>
        <v xml:space="preserve"> </v>
      </c>
      <c r="K1741" s="39">
        <f t="shared" si="280"/>
        <v>0</v>
      </c>
      <c r="L1741" s="39" t="str">
        <f t="shared" si="281"/>
        <v/>
      </c>
      <c r="M1741" s="40" t="str">
        <f t="shared" si="282"/>
        <v xml:space="preserve"> </v>
      </c>
      <c r="N1741" s="41" t="str">
        <f t="shared" ca="1" si="283"/>
        <v/>
      </c>
      <c r="O1741" s="41" t="str">
        <f t="shared" si="284"/>
        <v xml:space="preserve"> </v>
      </c>
      <c r="P1741" s="60">
        <f t="shared" si="285"/>
        <v>0</v>
      </c>
    </row>
    <row r="1742" spans="1:16" ht="15" customHeight="1">
      <c r="A1742" s="28">
        <v>0</v>
      </c>
      <c r="B1742" s="28" t="s">
        <v>1053</v>
      </c>
      <c r="C1742" s="129" t="s">
        <v>1050</v>
      </c>
      <c r="D1742" s="128">
        <v>0</v>
      </c>
      <c r="E1742" s="128" t="s">
        <v>1050</v>
      </c>
      <c r="F1742" s="29" t="s">
        <v>1050</v>
      </c>
      <c r="G1742" s="56" t="str">
        <f t="shared" ca="1" si="286"/>
        <v/>
      </c>
      <c r="H1742" s="28" t="str">
        <f t="shared" ca="1" si="278"/>
        <v/>
      </c>
      <c r="J1742" s="38" t="str">
        <f t="shared" si="279"/>
        <v xml:space="preserve"> </v>
      </c>
      <c r="K1742" s="39">
        <f t="shared" si="280"/>
        <v>0</v>
      </c>
      <c r="L1742" s="39" t="str">
        <f t="shared" si="281"/>
        <v/>
      </c>
      <c r="M1742" s="40" t="str">
        <f t="shared" si="282"/>
        <v xml:space="preserve"> </v>
      </c>
      <c r="N1742" s="41" t="str">
        <f t="shared" ca="1" si="283"/>
        <v/>
      </c>
      <c r="O1742" s="41" t="str">
        <f t="shared" si="284"/>
        <v xml:space="preserve"> </v>
      </c>
      <c r="P1742" s="60">
        <f t="shared" si="285"/>
        <v>0</v>
      </c>
    </row>
    <row r="1743" spans="1:16" ht="15" customHeight="1">
      <c r="A1743" s="28">
        <v>0</v>
      </c>
      <c r="B1743" s="28" t="s">
        <v>1053</v>
      </c>
      <c r="C1743" s="129" t="s">
        <v>1050</v>
      </c>
      <c r="D1743" s="128">
        <v>0</v>
      </c>
      <c r="E1743" s="128" t="s">
        <v>1050</v>
      </c>
      <c r="F1743" s="29" t="s">
        <v>1050</v>
      </c>
      <c r="G1743" s="56" t="str">
        <f t="shared" ca="1" si="286"/>
        <v/>
      </c>
      <c r="H1743" s="28" t="str">
        <f t="shared" ca="1" si="278"/>
        <v/>
      </c>
      <c r="J1743" s="38" t="str">
        <f t="shared" si="279"/>
        <v xml:space="preserve"> </v>
      </c>
      <c r="K1743" s="39">
        <f t="shared" si="280"/>
        <v>0</v>
      </c>
      <c r="L1743" s="39" t="str">
        <f t="shared" si="281"/>
        <v/>
      </c>
      <c r="M1743" s="40" t="str">
        <f t="shared" si="282"/>
        <v xml:space="preserve"> </v>
      </c>
      <c r="N1743" s="41" t="str">
        <f t="shared" ca="1" si="283"/>
        <v/>
      </c>
      <c r="O1743" s="41" t="str">
        <f t="shared" si="284"/>
        <v xml:space="preserve"> </v>
      </c>
      <c r="P1743" s="60">
        <f t="shared" si="285"/>
        <v>0</v>
      </c>
    </row>
    <row r="1744" spans="1:16" ht="15" customHeight="1">
      <c r="A1744" s="28">
        <v>0</v>
      </c>
      <c r="B1744" s="28" t="s">
        <v>1053</v>
      </c>
      <c r="C1744" s="129" t="s">
        <v>1050</v>
      </c>
      <c r="D1744" s="128">
        <v>0</v>
      </c>
      <c r="E1744" s="128" t="s">
        <v>1050</v>
      </c>
      <c r="F1744" s="29" t="s">
        <v>1050</v>
      </c>
      <c r="G1744" s="56" t="str">
        <f t="shared" ca="1" si="286"/>
        <v/>
      </c>
      <c r="H1744" s="28" t="str">
        <f t="shared" ca="1" si="278"/>
        <v/>
      </c>
      <c r="J1744" s="38" t="str">
        <f t="shared" si="279"/>
        <v xml:space="preserve"> </v>
      </c>
      <c r="K1744" s="39">
        <f t="shared" si="280"/>
        <v>0</v>
      </c>
      <c r="L1744" s="39" t="str">
        <f t="shared" si="281"/>
        <v/>
      </c>
      <c r="M1744" s="40" t="str">
        <f t="shared" si="282"/>
        <v xml:space="preserve"> </v>
      </c>
      <c r="N1744" s="41" t="str">
        <f t="shared" ca="1" si="283"/>
        <v/>
      </c>
      <c r="O1744" s="41" t="str">
        <f t="shared" si="284"/>
        <v xml:space="preserve"> </v>
      </c>
      <c r="P1744" s="60">
        <f t="shared" si="285"/>
        <v>0</v>
      </c>
    </row>
    <row r="1745" spans="1:16" ht="15" customHeight="1">
      <c r="A1745" s="28">
        <v>0</v>
      </c>
      <c r="B1745" s="28" t="s">
        <v>1053</v>
      </c>
      <c r="C1745" s="129" t="s">
        <v>1050</v>
      </c>
      <c r="D1745" s="128">
        <v>0</v>
      </c>
      <c r="E1745" s="128" t="s">
        <v>1050</v>
      </c>
      <c r="F1745" s="29" t="s">
        <v>1050</v>
      </c>
      <c r="G1745" s="56" t="str">
        <f t="shared" ca="1" si="286"/>
        <v/>
      </c>
      <c r="H1745" s="28" t="str">
        <f t="shared" ca="1" si="278"/>
        <v/>
      </c>
      <c r="J1745" s="38" t="str">
        <f t="shared" si="279"/>
        <v xml:space="preserve"> </v>
      </c>
      <c r="K1745" s="39">
        <f t="shared" si="280"/>
        <v>0</v>
      </c>
      <c r="L1745" s="39" t="str">
        <f t="shared" si="281"/>
        <v/>
      </c>
      <c r="M1745" s="40" t="str">
        <f t="shared" si="282"/>
        <v xml:space="preserve"> </v>
      </c>
      <c r="N1745" s="41" t="str">
        <f t="shared" ca="1" si="283"/>
        <v/>
      </c>
      <c r="O1745" s="41" t="str">
        <f t="shared" si="284"/>
        <v xml:space="preserve"> </v>
      </c>
      <c r="P1745" s="60">
        <f t="shared" si="285"/>
        <v>0</v>
      </c>
    </row>
    <row r="1746" spans="1:16" ht="15" customHeight="1">
      <c r="A1746" s="28">
        <v>0</v>
      </c>
      <c r="B1746" s="28" t="s">
        <v>1053</v>
      </c>
      <c r="C1746" s="129" t="s">
        <v>1050</v>
      </c>
      <c r="D1746" s="128">
        <v>0</v>
      </c>
      <c r="E1746" s="128" t="s">
        <v>1050</v>
      </c>
      <c r="F1746" s="29" t="s">
        <v>1050</v>
      </c>
      <c r="G1746" s="56" t="str">
        <f t="shared" ca="1" si="286"/>
        <v/>
      </c>
      <c r="H1746" s="28" t="str">
        <f t="shared" ca="1" si="278"/>
        <v/>
      </c>
      <c r="J1746" s="38" t="str">
        <f t="shared" si="279"/>
        <v xml:space="preserve"> </v>
      </c>
      <c r="K1746" s="39">
        <f t="shared" si="280"/>
        <v>0</v>
      </c>
      <c r="L1746" s="39" t="str">
        <f t="shared" si="281"/>
        <v/>
      </c>
      <c r="M1746" s="40" t="str">
        <f t="shared" si="282"/>
        <v xml:space="preserve"> </v>
      </c>
      <c r="N1746" s="41" t="str">
        <f t="shared" ca="1" si="283"/>
        <v/>
      </c>
      <c r="O1746" s="41" t="str">
        <f t="shared" si="284"/>
        <v xml:space="preserve"> </v>
      </c>
      <c r="P1746" s="60">
        <f t="shared" si="285"/>
        <v>0</v>
      </c>
    </row>
    <row r="1747" spans="1:16" ht="15" customHeight="1">
      <c r="A1747" s="28">
        <v>0</v>
      </c>
      <c r="B1747" s="28" t="s">
        <v>1053</v>
      </c>
      <c r="C1747" s="129" t="s">
        <v>1050</v>
      </c>
      <c r="D1747" s="128">
        <v>0</v>
      </c>
      <c r="E1747" s="128" t="s">
        <v>1050</v>
      </c>
      <c r="F1747" s="29" t="s">
        <v>1050</v>
      </c>
      <c r="G1747" s="56" t="str">
        <f t="shared" ca="1" si="286"/>
        <v/>
      </c>
      <c r="H1747" s="28" t="str">
        <f t="shared" ca="1" si="278"/>
        <v/>
      </c>
      <c r="J1747" s="38" t="str">
        <f t="shared" si="279"/>
        <v xml:space="preserve"> </v>
      </c>
      <c r="K1747" s="39">
        <f t="shared" si="280"/>
        <v>0</v>
      </c>
      <c r="L1747" s="39" t="str">
        <f t="shared" si="281"/>
        <v/>
      </c>
      <c r="M1747" s="40" t="str">
        <f t="shared" si="282"/>
        <v xml:space="preserve"> </v>
      </c>
      <c r="N1747" s="41" t="str">
        <f t="shared" ca="1" si="283"/>
        <v/>
      </c>
      <c r="O1747" s="41" t="str">
        <f t="shared" si="284"/>
        <v xml:space="preserve"> </v>
      </c>
      <c r="P1747" s="60">
        <f t="shared" si="285"/>
        <v>0</v>
      </c>
    </row>
    <row r="1748" spans="1:16" ht="15" customHeight="1">
      <c r="A1748" s="28">
        <v>0</v>
      </c>
      <c r="B1748" s="28" t="s">
        <v>1053</v>
      </c>
      <c r="C1748" s="129" t="s">
        <v>1050</v>
      </c>
      <c r="D1748" s="128">
        <v>0</v>
      </c>
      <c r="E1748" s="128" t="s">
        <v>1050</v>
      </c>
      <c r="F1748" s="29" t="s">
        <v>1050</v>
      </c>
      <c r="G1748" s="56" t="str">
        <f t="shared" ca="1" si="286"/>
        <v/>
      </c>
      <c r="H1748" s="28" t="str">
        <f t="shared" ca="1" si="278"/>
        <v/>
      </c>
      <c r="J1748" s="38" t="str">
        <f t="shared" si="279"/>
        <v xml:space="preserve"> </v>
      </c>
      <c r="K1748" s="39">
        <f t="shared" si="280"/>
        <v>0</v>
      </c>
      <c r="L1748" s="39" t="str">
        <f t="shared" si="281"/>
        <v/>
      </c>
      <c r="M1748" s="40" t="str">
        <f t="shared" si="282"/>
        <v xml:space="preserve"> </v>
      </c>
      <c r="N1748" s="41" t="str">
        <f t="shared" ca="1" si="283"/>
        <v/>
      </c>
      <c r="O1748" s="41" t="str">
        <f t="shared" si="284"/>
        <v xml:space="preserve"> </v>
      </c>
      <c r="P1748" s="60">
        <f t="shared" si="285"/>
        <v>0</v>
      </c>
    </row>
    <row r="1749" spans="1:16" ht="15" customHeight="1">
      <c r="A1749" s="28">
        <v>0</v>
      </c>
      <c r="B1749" s="28" t="s">
        <v>1053</v>
      </c>
      <c r="C1749" s="129" t="s">
        <v>1050</v>
      </c>
      <c r="D1749" s="128">
        <v>0</v>
      </c>
      <c r="E1749" s="128" t="s">
        <v>1050</v>
      </c>
      <c r="F1749" s="29" t="s">
        <v>1050</v>
      </c>
      <c r="G1749" s="56" t="str">
        <f t="shared" ca="1" si="286"/>
        <v/>
      </c>
      <c r="H1749" s="28" t="str">
        <f t="shared" ca="1" si="278"/>
        <v/>
      </c>
      <c r="J1749" s="38" t="str">
        <f t="shared" si="279"/>
        <v xml:space="preserve"> </v>
      </c>
      <c r="K1749" s="39">
        <f t="shared" si="280"/>
        <v>0</v>
      </c>
      <c r="L1749" s="39" t="str">
        <f t="shared" si="281"/>
        <v/>
      </c>
      <c r="M1749" s="40" t="str">
        <f t="shared" si="282"/>
        <v xml:space="preserve"> </v>
      </c>
      <c r="N1749" s="41" t="str">
        <f t="shared" ca="1" si="283"/>
        <v/>
      </c>
      <c r="O1749" s="41" t="str">
        <f t="shared" si="284"/>
        <v xml:space="preserve"> </v>
      </c>
      <c r="P1749" s="60">
        <f t="shared" si="285"/>
        <v>0</v>
      </c>
    </row>
    <row r="1750" spans="1:16" ht="15" customHeight="1">
      <c r="A1750" s="28">
        <v>0</v>
      </c>
      <c r="B1750" s="28" t="s">
        <v>1053</v>
      </c>
      <c r="C1750" s="129" t="s">
        <v>1050</v>
      </c>
      <c r="D1750" s="128">
        <v>0</v>
      </c>
      <c r="E1750" s="128" t="s">
        <v>1050</v>
      </c>
      <c r="F1750" s="29" t="s">
        <v>1050</v>
      </c>
      <c r="G1750" s="56" t="str">
        <f t="shared" ca="1" si="286"/>
        <v/>
      </c>
      <c r="H1750" s="28" t="str">
        <f t="shared" ca="1" si="278"/>
        <v/>
      </c>
      <c r="J1750" s="38" t="str">
        <f t="shared" si="279"/>
        <v xml:space="preserve"> </v>
      </c>
      <c r="K1750" s="39">
        <f t="shared" si="280"/>
        <v>0</v>
      </c>
      <c r="L1750" s="39" t="str">
        <f t="shared" si="281"/>
        <v/>
      </c>
      <c r="M1750" s="40" t="str">
        <f t="shared" si="282"/>
        <v xml:space="preserve"> </v>
      </c>
      <c r="N1750" s="41" t="str">
        <f t="shared" ca="1" si="283"/>
        <v/>
      </c>
      <c r="O1750" s="41" t="str">
        <f t="shared" si="284"/>
        <v xml:space="preserve"> </v>
      </c>
      <c r="P1750" s="60">
        <f t="shared" si="285"/>
        <v>0</v>
      </c>
    </row>
    <row r="1751" spans="1:16" ht="15" customHeight="1">
      <c r="A1751" s="28">
        <v>0</v>
      </c>
      <c r="B1751" s="28" t="s">
        <v>1053</v>
      </c>
      <c r="C1751" s="129" t="s">
        <v>1050</v>
      </c>
      <c r="D1751" s="128">
        <v>0</v>
      </c>
      <c r="E1751" s="128" t="s">
        <v>1050</v>
      </c>
      <c r="F1751" s="29" t="s">
        <v>1050</v>
      </c>
      <c r="G1751" s="56" t="str">
        <f t="shared" ca="1" si="286"/>
        <v/>
      </c>
      <c r="H1751" s="28" t="str">
        <f t="shared" ca="1" si="278"/>
        <v/>
      </c>
      <c r="J1751" s="38" t="str">
        <f t="shared" si="279"/>
        <v xml:space="preserve"> </v>
      </c>
      <c r="K1751" s="39">
        <f t="shared" si="280"/>
        <v>0</v>
      </c>
      <c r="L1751" s="39" t="str">
        <f t="shared" si="281"/>
        <v/>
      </c>
      <c r="M1751" s="40" t="str">
        <f t="shared" si="282"/>
        <v xml:space="preserve"> </v>
      </c>
      <c r="N1751" s="41" t="str">
        <f t="shared" ca="1" si="283"/>
        <v/>
      </c>
      <c r="O1751" s="41" t="str">
        <f t="shared" si="284"/>
        <v xml:space="preserve"> </v>
      </c>
      <c r="P1751" s="60">
        <f t="shared" si="285"/>
        <v>0</v>
      </c>
    </row>
    <row r="1752" spans="1:16" ht="15" customHeight="1">
      <c r="A1752" s="28">
        <v>0</v>
      </c>
      <c r="B1752" s="28" t="s">
        <v>1053</v>
      </c>
      <c r="C1752" s="129" t="s">
        <v>1050</v>
      </c>
      <c r="D1752" s="128">
        <v>0</v>
      </c>
      <c r="E1752" s="128" t="s">
        <v>1050</v>
      </c>
      <c r="F1752" s="29" t="s">
        <v>1050</v>
      </c>
      <c r="G1752" s="56" t="str">
        <f t="shared" ca="1" si="286"/>
        <v/>
      </c>
      <c r="H1752" s="28" t="str">
        <f t="shared" ca="1" si="278"/>
        <v/>
      </c>
      <c r="J1752" s="38" t="str">
        <f t="shared" si="279"/>
        <v xml:space="preserve"> </v>
      </c>
      <c r="K1752" s="39">
        <f t="shared" si="280"/>
        <v>0</v>
      </c>
      <c r="L1752" s="39" t="str">
        <f t="shared" si="281"/>
        <v/>
      </c>
      <c r="M1752" s="40" t="str">
        <f t="shared" si="282"/>
        <v xml:space="preserve"> </v>
      </c>
      <c r="N1752" s="41" t="str">
        <f t="shared" ca="1" si="283"/>
        <v/>
      </c>
      <c r="O1752" s="41" t="str">
        <f t="shared" si="284"/>
        <v xml:space="preserve"> </v>
      </c>
      <c r="P1752" s="60">
        <f t="shared" si="285"/>
        <v>0</v>
      </c>
    </row>
    <row r="1753" spans="1:16" ht="15" customHeight="1">
      <c r="A1753" s="28">
        <v>0</v>
      </c>
      <c r="B1753" s="28" t="s">
        <v>1053</v>
      </c>
      <c r="C1753" s="129" t="s">
        <v>1050</v>
      </c>
      <c r="D1753" s="128">
        <v>0</v>
      </c>
      <c r="E1753" s="128" t="s">
        <v>1050</v>
      </c>
      <c r="F1753" s="29" t="s">
        <v>1050</v>
      </c>
      <c r="G1753" s="56" t="str">
        <f t="shared" ca="1" si="286"/>
        <v/>
      </c>
      <c r="H1753" s="28" t="str">
        <f t="shared" ca="1" si="278"/>
        <v/>
      </c>
      <c r="J1753" s="38" t="str">
        <f t="shared" si="279"/>
        <v xml:space="preserve"> </v>
      </c>
      <c r="K1753" s="39">
        <f t="shared" si="280"/>
        <v>0</v>
      </c>
      <c r="L1753" s="39" t="str">
        <f t="shared" si="281"/>
        <v/>
      </c>
      <c r="M1753" s="40" t="str">
        <f t="shared" si="282"/>
        <v xml:space="preserve"> </v>
      </c>
      <c r="N1753" s="41" t="str">
        <f t="shared" ca="1" si="283"/>
        <v/>
      </c>
      <c r="O1753" s="41" t="str">
        <f t="shared" si="284"/>
        <v xml:space="preserve"> </v>
      </c>
      <c r="P1753" s="60">
        <f t="shared" si="285"/>
        <v>0</v>
      </c>
    </row>
    <row r="1754" spans="1:16" ht="15" customHeight="1">
      <c r="A1754" s="28">
        <v>0</v>
      </c>
      <c r="B1754" s="28" t="s">
        <v>1053</v>
      </c>
      <c r="C1754" s="129" t="s">
        <v>1050</v>
      </c>
      <c r="D1754" s="128">
        <v>0</v>
      </c>
      <c r="E1754" s="128" t="s">
        <v>1050</v>
      </c>
      <c r="F1754" s="29" t="s">
        <v>1050</v>
      </c>
      <c r="G1754" s="56" t="str">
        <f t="shared" ca="1" si="286"/>
        <v/>
      </c>
      <c r="H1754" s="28" t="str">
        <f t="shared" ca="1" si="278"/>
        <v/>
      </c>
      <c r="J1754" s="38" t="str">
        <f t="shared" si="279"/>
        <v xml:space="preserve"> </v>
      </c>
      <c r="K1754" s="39">
        <f t="shared" si="280"/>
        <v>0</v>
      </c>
      <c r="L1754" s="39" t="str">
        <f t="shared" si="281"/>
        <v/>
      </c>
      <c r="M1754" s="40" t="str">
        <f t="shared" si="282"/>
        <v xml:space="preserve"> </v>
      </c>
      <c r="N1754" s="41" t="str">
        <f t="shared" ca="1" si="283"/>
        <v/>
      </c>
      <c r="O1754" s="41" t="str">
        <f t="shared" si="284"/>
        <v xml:space="preserve"> </v>
      </c>
      <c r="P1754" s="60">
        <f t="shared" si="285"/>
        <v>0</v>
      </c>
    </row>
    <row r="1755" spans="1:16" ht="15" customHeight="1">
      <c r="A1755" s="28">
        <v>0</v>
      </c>
      <c r="B1755" s="28" t="s">
        <v>1053</v>
      </c>
      <c r="C1755" s="129" t="s">
        <v>1050</v>
      </c>
      <c r="D1755" s="128">
        <v>0</v>
      </c>
      <c r="E1755" s="128" t="s">
        <v>1050</v>
      </c>
      <c r="F1755" s="29" t="s">
        <v>1050</v>
      </c>
      <c r="G1755" s="56" t="str">
        <f t="shared" ca="1" si="286"/>
        <v/>
      </c>
      <c r="H1755" s="28" t="str">
        <f t="shared" ca="1" si="278"/>
        <v/>
      </c>
      <c r="J1755" s="38" t="str">
        <f t="shared" si="279"/>
        <v xml:space="preserve"> </v>
      </c>
      <c r="K1755" s="39">
        <f t="shared" si="280"/>
        <v>0</v>
      </c>
      <c r="L1755" s="39" t="str">
        <f t="shared" si="281"/>
        <v/>
      </c>
      <c r="M1755" s="40" t="str">
        <f t="shared" si="282"/>
        <v xml:space="preserve"> </v>
      </c>
      <c r="N1755" s="41" t="str">
        <f t="shared" ca="1" si="283"/>
        <v/>
      </c>
      <c r="O1755" s="41" t="str">
        <f t="shared" si="284"/>
        <v xml:space="preserve"> </v>
      </c>
      <c r="P1755" s="60">
        <f t="shared" si="285"/>
        <v>0</v>
      </c>
    </row>
    <row r="1756" spans="1:16" ht="15" customHeight="1">
      <c r="A1756" s="28">
        <v>0</v>
      </c>
      <c r="B1756" s="28" t="s">
        <v>1053</v>
      </c>
      <c r="C1756" s="129" t="s">
        <v>1050</v>
      </c>
      <c r="D1756" s="128">
        <v>0</v>
      </c>
      <c r="E1756" s="128" t="s">
        <v>1050</v>
      </c>
      <c r="F1756" s="29" t="s">
        <v>1050</v>
      </c>
      <c r="G1756" s="56" t="str">
        <f t="shared" ca="1" si="286"/>
        <v/>
      </c>
      <c r="H1756" s="28" t="str">
        <f t="shared" ca="1" si="278"/>
        <v/>
      </c>
      <c r="J1756" s="38" t="str">
        <f t="shared" si="279"/>
        <v xml:space="preserve"> </v>
      </c>
      <c r="K1756" s="39">
        <f t="shared" si="280"/>
        <v>0</v>
      </c>
      <c r="L1756" s="39" t="str">
        <f t="shared" si="281"/>
        <v/>
      </c>
      <c r="M1756" s="40" t="str">
        <f t="shared" si="282"/>
        <v xml:space="preserve"> </v>
      </c>
      <c r="N1756" s="41" t="str">
        <f t="shared" ca="1" si="283"/>
        <v/>
      </c>
      <c r="O1756" s="41" t="str">
        <f t="shared" si="284"/>
        <v xml:space="preserve"> </v>
      </c>
      <c r="P1756" s="60">
        <f t="shared" si="285"/>
        <v>0</v>
      </c>
    </row>
    <row r="1757" spans="1:16" ht="15" customHeight="1">
      <c r="A1757" s="28">
        <v>0</v>
      </c>
      <c r="B1757" s="28" t="s">
        <v>1053</v>
      </c>
      <c r="C1757" s="129" t="s">
        <v>1050</v>
      </c>
      <c r="D1757" s="128">
        <v>0</v>
      </c>
      <c r="E1757" s="128" t="s">
        <v>1050</v>
      </c>
      <c r="F1757" s="29" t="s">
        <v>1050</v>
      </c>
      <c r="G1757" s="56" t="str">
        <f t="shared" ca="1" si="286"/>
        <v/>
      </c>
      <c r="H1757" s="28" t="str">
        <f t="shared" ca="1" si="278"/>
        <v/>
      </c>
      <c r="J1757" s="38" t="str">
        <f t="shared" si="279"/>
        <v xml:space="preserve"> </v>
      </c>
      <c r="K1757" s="39">
        <f t="shared" si="280"/>
        <v>0</v>
      </c>
      <c r="L1757" s="39" t="str">
        <f t="shared" si="281"/>
        <v/>
      </c>
      <c r="M1757" s="40" t="str">
        <f t="shared" si="282"/>
        <v xml:space="preserve"> </v>
      </c>
      <c r="N1757" s="41" t="str">
        <f t="shared" ca="1" si="283"/>
        <v/>
      </c>
      <c r="O1757" s="41" t="str">
        <f t="shared" si="284"/>
        <v xml:space="preserve"> </v>
      </c>
      <c r="P1757" s="60">
        <f t="shared" si="285"/>
        <v>0</v>
      </c>
    </row>
    <row r="1758" spans="1:16" ht="15" customHeight="1">
      <c r="A1758" s="28">
        <v>0</v>
      </c>
      <c r="B1758" s="28" t="s">
        <v>1053</v>
      </c>
      <c r="C1758" s="129" t="s">
        <v>1050</v>
      </c>
      <c r="D1758" s="128">
        <v>0</v>
      </c>
      <c r="E1758" s="128" t="s">
        <v>1050</v>
      </c>
      <c r="F1758" s="29" t="s">
        <v>1050</v>
      </c>
      <c r="G1758" s="56" t="str">
        <f t="shared" ca="1" si="286"/>
        <v/>
      </c>
      <c r="H1758" s="28" t="str">
        <f t="shared" ca="1" si="278"/>
        <v/>
      </c>
      <c r="J1758" s="38" t="str">
        <f t="shared" si="279"/>
        <v xml:space="preserve"> </v>
      </c>
      <c r="K1758" s="39">
        <f t="shared" si="280"/>
        <v>0</v>
      </c>
      <c r="L1758" s="39" t="str">
        <f t="shared" si="281"/>
        <v/>
      </c>
      <c r="M1758" s="40" t="str">
        <f t="shared" si="282"/>
        <v xml:space="preserve"> </v>
      </c>
      <c r="N1758" s="41" t="str">
        <f t="shared" ca="1" si="283"/>
        <v/>
      </c>
      <c r="O1758" s="41" t="str">
        <f t="shared" si="284"/>
        <v xml:space="preserve"> </v>
      </c>
      <c r="P1758" s="60">
        <f t="shared" si="285"/>
        <v>0</v>
      </c>
    </row>
    <row r="1759" spans="1:16" ht="15" customHeight="1">
      <c r="A1759" s="28">
        <v>0</v>
      </c>
      <c r="B1759" s="28" t="s">
        <v>1053</v>
      </c>
      <c r="C1759" s="129" t="s">
        <v>1050</v>
      </c>
      <c r="D1759" s="128">
        <v>0</v>
      </c>
      <c r="E1759" s="128" t="s">
        <v>1050</v>
      </c>
      <c r="F1759" s="29" t="s">
        <v>1050</v>
      </c>
      <c r="G1759" s="56" t="str">
        <f t="shared" ca="1" si="286"/>
        <v/>
      </c>
      <c r="H1759" s="28" t="str">
        <f t="shared" ca="1" si="278"/>
        <v/>
      </c>
      <c r="J1759" s="38" t="str">
        <f t="shared" si="279"/>
        <v xml:space="preserve"> </v>
      </c>
      <c r="K1759" s="39">
        <f t="shared" si="280"/>
        <v>0</v>
      </c>
      <c r="L1759" s="39" t="str">
        <f t="shared" si="281"/>
        <v/>
      </c>
      <c r="M1759" s="40" t="str">
        <f t="shared" si="282"/>
        <v xml:space="preserve"> </v>
      </c>
      <c r="N1759" s="41" t="str">
        <f t="shared" ca="1" si="283"/>
        <v/>
      </c>
      <c r="O1759" s="41" t="str">
        <f t="shared" si="284"/>
        <v xml:space="preserve"> </v>
      </c>
      <c r="P1759" s="60">
        <f t="shared" si="285"/>
        <v>0</v>
      </c>
    </row>
    <row r="1760" spans="1:16" ht="15" customHeight="1">
      <c r="A1760" s="28">
        <v>0</v>
      </c>
      <c r="B1760" s="28" t="s">
        <v>1053</v>
      </c>
      <c r="C1760" s="129" t="s">
        <v>1050</v>
      </c>
      <c r="D1760" s="128">
        <v>0</v>
      </c>
      <c r="E1760" s="128" t="s">
        <v>1050</v>
      </c>
      <c r="F1760" s="29" t="s">
        <v>1050</v>
      </c>
      <c r="G1760" s="56" t="str">
        <f t="shared" ca="1" si="286"/>
        <v/>
      </c>
      <c r="H1760" s="28" t="str">
        <f t="shared" ca="1" si="278"/>
        <v/>
      </c>
      <c r="J1760" s="38" t="str">
        <f t="shared" si="279"/>
        <v xml:space="preserve"> </v>
      </c>
      <c r="K1760" s="39">
        <f t="shared" si="280"/>
        <v>0</v>
      </c>
      <c r="L1760" s="39" t="str">
        <f t="shared" si="281"/>
        <v/>
      </c>
      <c r="M1760" s="40" t="str">
        <f t="shared" si="282"/>
        <v xml:space="preserve"> </v>
      </c>
      <c r="N1760" s="41" t="str">
        <f t="shared" ca="1" si="283"/>
        <v/>
      </c>
      <c r="O1760" s="41" t="str">
        <f t="shared" si="284"/>
        <v xml:space="preserve"> </v>
      </c>
      <c r="P1760" s="60">
        <f t="shared" si="285"/>
        <v>0</v>
      </c>
    </row>
    <row r="1761" spans="1:16" ht="15" customHeight="1">
      <c r="A1761" s="28">
        <v>0</v>
      </c>
      <c r="B1761" s="28" t="s">
        <v>1053</v>
      </c>
      <c r="C1761" s="129" t="s">
        <v>1050</v>
      </c>
      <c r="D1761" s="128">
        <v>0</v>
      </c>
      <c r="E1761" s="128" t="s">
        <v>1050</v>
      </c>
      <c r="F1761" s="29" t="s">
        <v>1050</v>
      </c>
      <c r="G1761" s="56" t="str">
        <f t="shared" ca="1" si="286"/>
        <v/>
      </c>
      <c r="H1761" s="28" t="str">
        <f t="shared" ca="1" si="278"/>
        <v/>
      </c>
      <c r="J1761" s="38" t="str">
        <f t="shared" si="279"/>
        <v xml:space="preserve"> </v>
      </c>
      <c r="K1761" s="39">
        <f t="shared" si="280"/>
        <v>0</v>
      </c>
      <c r="L1761" s="39" t="str">
        <f t="shared" si="281"/>
        <v/>
      </c>
      <c r="M1761" s="40" t="str">
        <f t="shared" si="282"/>
        <v xml:space="preserve"> </v>
      </c>
      <c r="N1761" s="41" t="str">
        <f t="shared" ca="1" si="283"/>
        <v/>
      </c>
      <c r="O1761" s="41" t="str">
        <f t="shared" si="284"/>
        <v xml:space="preserve"> </v>
      </c>
      <c r="P1761" s="60">
        <f t="shared" si="285"/>
        <v>0</v>
      </c>
    </row>
    <row r="1762" spans="1:16" ht="15" customHeight="1">
      <c r="A1762" s="28">
        <v>0</v>
      </c>
      <c r="B1762" s="28" t="s">
        <v>1053</v>
      </c>
      <c r="C1762" s="129" t="s">
        <v>1050</v>
      </c>
      <c r="D1762" s="128">
        <v>0</v>
      </c>
      <c r="E1762" s="128" t="s">
        <v>1050</v>
      </c>
      <c r="F1762" s="29" t="s">
        <v>1050</v>
      </c>
      <c r="G1762" s="56" t="str">
        <f t="shared" ca="1" si="286"/>
        <v/>
      </c>
      <c r="H1762" s="28" t="str">
        <f t="shared" ca="1" si="278"/>
        <v/>
      </c>
      <c r="J1762" s="38" t="str">
        <f t="shared" si="279"/>
        <v xml:space="preserve"> </v>
      </c>
      <c r="K1762" s="39">
        <f t="shared" si="280"/>
        <v>0</v>
      </c>
      <c r="L1762" s="39" t="str">
        <f t="shared" si="281"/>
        <v/>
      </c>
      <c r="M1762" s="40" t="str">
        <f t="shared" si="282"/>
        <v xml:space="preserve"> </v>
      </c>
      <c r="N1762" s="41" t="str">
        <f t="shared" ca="1" si="283"/>
        <v/>
      </c>
      <c r="O1762" s="41" t="str">
        <f t="shared" si="284"/>
        <v xml:space="preserve"> </v>
      </c>
      <c r="P1762" s="60">
        <f t="shared" si="285"/>
        <v>0</v>
      </c>
    </row>
    <row r="1763" spans="1:16" ht="15" customHeight="1">
      <c r="A1763" s="28">
        <v>0</v>
      </c>
      <c r="B1763" s="28" t="s">
        <v>1053</v>
      </c>
      <c r="C1763" s="129" t="s">
        <v>1050</v>
      </c>
      <c r="D1763" s="128">
        <v>0</v>
      </c>
      <c r="E1763" s="128" t="s">
        <v>1050</v>
      </c>
      <c r="F1763" s="29" t="s">
        <v>1050</v>
      </c>
      <c r="G1763" s="56" t="str">
        <f t="shared" ca="1" si="286"/>
        <v/>
      </c>
      <c r="H1763" s="28" t="str">
        <f t="shared" ca="1" si="278"/>
        <v/>
      </c>
      <c r="J1763" s="38" t="str">
        <f t="shared" si="279"/>
        <v xml:space="preserve"> </v>
      </c>
      <c r="K1763" s="39">
        <f t="shared" si="280"/>
        <v>0</v>
      </c>
      <c r="L1763" s="39" t="str">
        <f t="shared" si="281"/>
        <v/>
      </c>
      <c r="M1763" s="40" t="str">
        <f t="shared" si="282"/>
        <v xml:space="preserve"> </v>
      </c>
      <c r="N1763" s="41" t="str">
        <f t="shared" ca="1" si="283"/>
        <v/>
      </c>
      <c r="O1763" s="41" t="str">
        <f t="shared" si="284"/>
        <v xml:space="preserve"> </v>
      </c>
      <c r="P1763" s="60">
        <f t="shared" si="285"/>
        <v>0</v>
      </c>
    </row>
    <row r="1764" spans="1:16" ht="15" customHeight="1">
      <c r="A1764" s="28">
        <v>0</v>
      </c>
      <c r="B1764" s="28" t="s">
        <v>1053</v>
      </c>
      <c r="C1764" s="129" t="s">
        <v>1050</v>
      </c>
      <c r="D1764" s="128">
        <v>0</v>
      </c>
      <c r="E1764" s="128" t="s">
        <v>1050</v>
      </c>
      <c r="F1764" s="29" t="s">
        <v>1050</v>
      </c>
      <c r="G1764" s="56" t="str">
        <f t="shared" ca="1" si="286"/>
        <v/>
      </c>
      <c r="H1764" s="28" t="str">
        <f t="shared" ca="1" si="278"/>
        <v/>
      </c>
      <c r="J1764" s="38" t="str">
        <f t="shared" si="279"/>
        <v xml:space="preserve"> </v>
      </c>
      <c r="K1764" s="39">
        <f t="shared" si="280"/>
        <v>0</v>
      </c>
      <c r="L1764" s="39" t="str">
        <f t="shared" si="281"/>
        <v/>
      </c>
      <c r="M1764" s="40" t="str">
        <f t="shared" si="282"/>
        <v xml:space="preserve"> </v>
      </c>
      <c r="N1764" s="41" t="str">
        <f t="shared" ca="1" si="283"/>
        <v/>
      </c>
      <c r="O1764" s="41" t="str">
        <f t="shared" si="284"/>
        <v xml:space="preserve"> </v>
      </c>
      <c r="P1764" s="60">
        <f t="shared" si="285"/>
        <v>0</v>
      </c>
    </row>
    <row r="1765" spans="1:16" ht="15" customHeight="1">
      <c r="A1765" s="28">
        <v>0</v>
      </c>
      <c r="B1765" s="28" t="s">
        <v>1053</v>
      </c>
      <c r="C1765" s="129" t="s">
        <v>1050</v>
      </c>
      <c r="D1765" s="128">
        <v>0</v>
      </c>
      <c r="E1765" s="128" t="s">
        <v>1050</v>
      </c>
      <c r="F1765" s="29" t="s">
        <v>1050</v>
      </c>
      <c r="G1765" s="56" t="str">
        <f t="shared" ca="1" si="286"/>
        <v/>
      </c>
      <c r="H1765" s="28" t="str">
        <f t="shared" ca="1" si="278"/>
        <v/>
      </c>
      <c r="J1765" s="38" t="str">
        <f t="shared" si="279"/>
        <v xml:space="preserve"> </v>
      </c>
      <c r="K1765" s="39">
        <f t="shared" si="280"/>
        <v>0</v>
      </c>
      <c r="L1765" s="39" t="str">
        <f t="shared" si="281"/>
        <v/>
      </c>
      <c r="M1765" s="40" t="str">
        <f t="shared" si="282"/>
        <v xml:space="preserve"> </v>
      </c>
      <c r="N1765" s="41" t="str">
        <f t="shared" ca="1" si="283"/>
        <v/>
      </c>
      <c r="O1765" s="41" t="str">
        <f t="shared" si="284"/>
        <v xml:space="preserve"> </v>
      </c>
      <c r="P1765" s="60">
        <f t="shared" si="285"/>
        <v>0</v>
      </c>
    </row>
    <row r="1766" spans="1:16" ht="15" customHeight="1">
      <c r="A1766" s="28">
        <v>0</v>
      </c>
      <c r="B1766" s="28" t="s">
        <v>1053</v>
      </c>
      <c r="C1766" s="129" t="s">
        <v>1050</v>
      </c>
      <c r="D1766" s="128">
        <v>0</v>
      </c>
      <c r="E1766" s="128" t="s">
        <v>1050</v>
      </c>
      <c r="F1766" s="29" t="s">
        <v>1050</v>
      </c>
      <c r="G1766" s="56" t="str">
        <f t="shared" ca="1" si="286"/>
        <v/>
      </c>
      <c r="H1766" s="28" t="str">
        <f t="shared" ca="1" si="278"/>
        <v/>
      </c>
      <c r="J1766" s="38" t="str">
        <f t="shared" si="279"/>
        <v xml:space="preserve"> </v>
      </c>
      <c r="K1766" s="39">
        <f t="shared" si="280"/>
        <v>0</v>
      </c>
      <c r="L1766" s="39" t="str">
        <f t="shared" si="281"/>
        <v/>
      </c>
      <c r="M1766" s="40" t="str">
        <f t="shared" si="282"/>
        <v xml:space="preserve"> </v>
      </c>
      <c r="N1766" s="41" t="str">
        <f t="shared" ca="1" si="283"/>
        <v/>
      </c>
      <c r="O1766" s="41" t="str">
        <f t="shared" si="284"/>
        <v xml:space="preserve"> </v>
      </c>
      <c r="P1766" s="60">
        <f t="shared" si="285"/>
        <v>0</v>
      </c>
    </row>
    <row r="1767" spans="1:16" ht="15" customHeight="1">
      <c r="A1767" s="28">
        <v>0</v>
      </c>
      <c r="B1767" s="28" t="s">
        <v>1053</v>
      </c>
      <c r="C1767" s="129" t="s">
        <v>1050</v>
      </c>
      <c r="D1767" s="128">
        <v>0</v>
      </c>
      <c r="E1767" s="128" t="s">
        <v>1050</v>
      </c>
      <c r="F1767" s="29" t="s">
        <v>1050</v>
      </c>
      <c r="G1767" s="56" t="str">
        <f t="shared" ca="1" si="286"/>
        <v/>
      </c>
      <c r="H1767" s="28" t="str">
        <f t="shared" ref="H1767:H1830" ca="1" si="287">IFERROR(IF($A1767&gt;0,ROUNDDOWN(INT(TODAY()-F1767)/365.25,0),""),"")</f>
        <v/>
      </c>
      <c r="J1767" s="38" t="str">
        <f t="shared" ref="J1767:J1830" si="288">C1767</f>
        <v xml:space="preserve"> </v>
      </c>
      <c r="K1767" s="39">
        <f t="shared" ref="K1767:K1830" si="289">A1767</f>
        <v>0</v>
      </c>
      <c r="L1767" s="39" t="str">
        <f t="shared" ref="L1767:L1830" si="290">B1767</f>
        <v/>
      </c>
      <c r="M1767" s="40" t="str">
        <f t="shared" ref="M1767:M1830" si="291">F1767</f>
        <v xml:space="preserve"> </v>
      </c>
      <c r="N1767" s="41" t="str">
        <f t="shared" ref="N1767:N1830" ca="1" si="292">G1767</f>
        <v/>
      </c>
      <c r="O1767" s="41" t="str">
        <f t="shared" ref="O1767:O1830" si="293">E1767</f>
        <v xml:space="preserve"> </v>
      </c>
      <c r="P1767" s="60">
        <f t="shared" ref="P1767:P1830" si="294">D1767</f>
        <v>0</v>
      </c>
    </row>
    <row r="1768" spans="1:16" ht="15" customHeight="1">
      <c r="A1768" s="28">
        <v>0</v>
      </c>
      <c r="B1768" s="28" t="s">
        <v>1053</v>
      </c>
      <c r="C1768" s="129" t="s">
        <v>1050</v>
      </c>
      <c r="D1768" s="128">
        <v>0</v>
      </c>
      <c r="E1768" s="128" t="s">
        <v>1050</v>
      </c>
      <c r="F1768" s="29" t="s">
        <v>1050</v>
      </c>
      <c r="G1768" s="56" t="str">
        <f t="shared" ca="1" si="286"/>
        <v/>
      </c>
      <c r="H1768" s="28" t="str">
        <f t="shared" ca="1" si="287"/>
        <v/>
      </c>
      <c r="J1768" s="38" t="str">
        <f t="shared" si="288"/>
        <v xml:space="preserve"> </v>
      </c>
      <c r="K1768" s="39">
        <f t="shared" si="289"/>
        <v>0</v>
      </c>
      <c r="L1768" s="39" t="str">
        <f t="shared" si="290"/>
        <v/>
      </c>
      <c r="M1768" s="40" t="str">
        <f t="shared" si="291"/>
        <v xml:space="preserve"> </v>
      </c>
      <c r="N1768" s="41" t="str">
        <f t="shared" ca="1" si="292"/>
        <v/>
      </c>
      <c r="O1768" s="41" t="str">
        <f t="shared" si="293"/>
        <v xml:space="preserve"> </v>
      </c>
      <c r="P1768" s="60">
        <f t="shared" si="294"/>
        <v>0</v>
      </c>
    </row>
    <row r="1769" spans="1:16" ht="15" customHeight="1">
      <c r="A1769" s="28">
        <v>0</v>
      </c>
      <c r="B1769" s="28" t="s">
        <v>1053</v>
      </c>
      <c r="C1769" s="129" t="s">
        <v>1050</v>
      </c>
      <c r="D1769" s="128">
        <v>0</v>
      </c>
      <c r="E1769" s="128" t="s">
        <v>1050</v>
      </c>
      <c r="F1769" s="29" t="s">
        <v>1050</v>
      </c>
      <c r="G1769" s="56" t="str">
        <f t="shared" ca="1" si="286"/>
        <v/>
      </c>
      <c r="H1769" s="28" t="str">
        <f t="shared" ca="1" si="287"/>
        <v/>
      </c>
      <c r="J1769" s="38" t="str">
        <f t="shared" si="288"/>
        <v xml:space="preserve"> </v>
      </c>
      <c r="K1769" s="39">
        <f t="shared" si="289"/>
        <v>0</v>
      </c>
      <c r="L1769" s="39" t="str">
        <f t="shared" si="290"/>
        <v/>
      </c>
      <c r="M1769" s="40" t="str">
        <f t="shared" si="291"/>
        <v xml:space="preserve"> </v>
      </c>
      <c r="N1769" s="41" t="str">
        <f t="shared" ca="1" si="292"/>
        <v/>
      </c>
      <c r="O1769" s="41" t="str">
        <f t="shared" si="293"/>
        <v xml:space="preserve"> </v>
      </c>
      <c r="P1769" s="60">
        <f t="shared" si="294"/>
        <v>0</v>
      </c>
    </row>
    <row r="1770" spans="1:16" ht="15" customHeight="1">
      <c r="A1770" s="28">
        <v>0</v>
      </c>
      <c r="B1770" s="28" t="s">
        <v>1053</v>
      </c>
      <c r="C1770" s="129" t="s">
        <v>1050</v>
      </c>
      <c r="D1770" s="128">
        <v>0</v>
      </c>
      <c r="E1770" s="128" t="s">
        <v>1050</v>
      </c>
      <c r="F1770" s="29" t="s">
        <v>1050</v>
      </c>
      <c r="G1770" s="56" t="str">
        <f t="shared" ca="1" si="286"/>
        <v/>
      </c>
      <c r="H1770" s="28" t="str">
        <f t="shared" ca="1" si="287"/>
        <v/>
      </c>
      <c r="J1770" s="38" t="str">
        <f t="shared" si="288"/>
        <v xml:space="preserve"> </v>
      </c>
      <c r="K1770" s="39">
        <f t="shared" si="289"/>
        <v>0</v>
      </c>
      <c r="L1770" s="39" t="str">
        <f t="shared" si="290"/>
        <v/>
      </c>
      <c r="M1770" s="40" t="str">
        <f t="shared" si="291"/>
        <v xml:space="preserve"> </v>
      </c>
      <c r="N1770" s="41" t="str">
        <f t="shared" ca="1" si="292"/>
        <v/>
      </c>
      <c r="O1770" s="41" t="str">
        <f t="shared" si="293"/>
        <v xml:space="preserve"> </v>
      </c>
      <c r="P1770" s="60">
        <f t="shared" si="294"/>
        <v>0</v>
      </c>
    </row>
    <row r="1771" spans="1:16" ht="15" customHeight="1">
      <c r="A1771" s="28">
        <v>0</v>
      </c>
      <c r="B1771" s="28" t="s">
        <v>1053</v>
      </c>
      <c r="C1771" s="129" t="s">
        <v>1050</v>
      </c>
      <c r="D1771" s="128">
        <v>0</v>
      </c>
      <c r="E1771" s="128" t="s">
        <v>1050</v>
      </c>
      <c r="F1771" s="29" t="s">
        <v>1050</v>
      </c>
      <c r="G1771" s="56" t="str">
        <f t="shared" ca="1" si="286"/>
        <v/>
      </c>
      <c r="H1771" s="28" t="str">
        <f t="shared" ca="1" si="287"/>
        <v/>
      </c>
      <c r="J1771" s="38" t="str">
        <f t="shared" si="288"/>
        <v xml:space="preserve"> </v>
      </c>
      <c r="K1771" s="39">
        <f t="shared" si="289"/>
        <v>0</v>
      </c>
      <c r="L1771" s="39" t="str">
        <f t="shared" si="290"/>
        <v/>
      </c>
      <c r="M1771" s="40" t="str">
        <f t="shared" si="291"/>
        <v xml:space="preserve"> </v>
      </c>
      <c r="N1771" s="41" t="str">
        <f t="shared" ca="1" si="292"/>
        <v/>
      </c>
      <c r="O1771" s="41" t="str">
        <f t="shared" si="293"/>
        <v xml:space="preserve"> </v>
      </c>
      <c r="P1771" s="60">
        <f t="shared" si="294"/>
        <v>0</v>
      </c>
    </row>
    <row r="1772" spans="1:16" ht="15" customHeight="1">
      <c r="A1772" s="28">
        <v>0</v>
      </c>
      <c r="B1772" s="28" t="s">
        <v>1053</v>
      </c>
      <c r="C1772" s="129" t="s">
        <v>1050</v>
      </c>
      <c r="D1772" s="128">
        <v>0</v>
      </c>
      <c r="E1772" s="128" t="s">
        <v>1050</v>
      </c>
      <c r="F1772" s="29" t="s">
        <v>1050</v>
      </c>
      <c r="G1772" s="56" t="str">
        <f t="shared" ca="1" si="286"/>
        <v/>
      </c>
      <c r="H1772" s="28" t="str">
        <f t="shared" ca="1" si="287"/>
        <v/>
      </c>
      <c r="J1772" s="38" t="str">
        <f t="shared" si="288"/>
        <v xml:space="preserve"> </v>
      </c>
      <c r="K1772" s="39">
        <f t="shared" si="289"/>
        <v>0</v>
      </c>
      <c r="L1772" s="39" t="str">
        <f t="shared" si="290"/>
        <v/>
      </c>
      <c r="M1772" s="40" t="str">
        <f t="shared" si="291"/>
        <v xml:space="preserve"> </v>
      </c>
      <c r="N1772" s="41" t="str">
        <f t="shared" ca="1" si="292"/>
        <v/>
      </c>
      <c r="O1772" s="41" t="str">
        <f t="shared" si="293"/>
        <v xml:space="preserve"> </v>
      </c>
      <c r="P1772" s="60">
        <f t="shared" si="294"/>
        <v>0</v>
      </c>
    </row>
    <row r="1773" spans="1:16" ht="15" customHeight="1">
      <c r="A1773" s="28">
        <v>0</v>
      </c>
      <c r="B1773" s="28" t="s">
        <v>1053</v>
      </c>
      <c r="C1773" s="129" t="s">
        <v>1050</v>
      </c>
      <c r="D1773" s="128">
        <v>0</v>
      </c>
      <c r="E1773" s="128" t="s">
        <v>1050</v>
      </c>
      <c r="F1773" s="29" t="s">
        <v>1050</v>
      </c>
      <c r="G1773" s="56" t="str">
        <f t="shared" ca="1" si="286"/>
        <v/>
      </c>
      <c r="H1773" s="28" t="str">
        <f t="shared" ca="1" si="287"/>
        <v/>
      </c>
      <c r="J1773" s="38" t="str">
        <f t="shared" si="288"/>
        <v xml:space="preserve"> </v>
      </c>
      <c r="K1773" s="39">
        <f t="shared" si="289"/>
        <v>0</v>
      </c>
      <c r="L1773" s="39" t="str">
        <f t="shared" si="290"/>
        <v/>
      </c>
      <c r="M1773" s="40" t="str">
        <f t="shared" si="291"/>
        <v xml:space="preserve"> </v>
      </c>
      <c r="N1773" s="41" t="str">
        <f t="shared" ca="1" si="292"/>
        <v/>
      </c>
      <c r="O1773" s="41" t="str">
        <f t="shared" si="293"/>
        <v xml:space="preserve"> </v>
      </c>
      <c r="P1773" s="60">
        <f t="shared" si="294"/>
        <v>0</v>
      </c>
    </row>
    <row r="1774" spans="1:16" ht="15" customHeight="1">
      <c r="A1774" s="28">
        <v>0</v>
      </c>
      <c r="B1774" s="28" t="s">
        <v>1053</v>
      </c>
      <c r="C1774" s="129" t="s">
        <v>1050</v>
      </c>
      <c r="D1774" s="128">
        <v>0</v>
      </c>
      <c r="E1774" s="128" t="s">
        <v>1050</v>
      </c>
      <c r="F1774" s="29" t="s">
        <v>1050</v>
      </c>
      <c r="G1774" s="56" t="str">
        <f t="shared" ca="1" si="286"/>
        <v/>
      </c>
      <c r="H1774" s="28" t="str">
        <f t="shared" ca="1" si="287"/>
        <v/>
      </c>
      <c r="J1774" s="38" t="str">
        <f t="shared" si="288"/>
        <v xml:space="preserve"> </v>
      </c>
      <c r="K1774" s="39">
        <f t="shared" si="289"/>
        <v>0</v>
      </c>
      <c r="L1774" s="39" t="str">
        <f t="shared" si="290"/>
        <v/>
      </c>
      <c r="M1774" s="40" t="str">
        <f t="shared" si="291"/>
        <v xml:space="preserve"> </v>
      </c>
      <c r="N1774" s="41" t="str">
        <f t="shared" ca="1" si="292"/>
        <v/>
      </c>
      <c r="O1774" s="41" t="str">
        <f t="shared" si="293"/>
        <v xml:space="preserve"> </v>
      </c>
      <c r="P1774" s="60">
        <f t="shared" si="294"/>
        <v>0</v>
      </c>
    </row>
    <row r="1775" spans="1:16" ht="15" customHeight="1">
      <c r="A1775" s="28">
        <v>0</v>
      </c>
      <c r="B1775" s="28" t="s">
        <v>1053</v>
      </c>
      <c r="C1775" s="129" t="s">
        <v>1050</v>
      </c>
      <c r="D1775" s="128">
        <v>0</v>
      </c>
      <c r="E1775" s="128" t="s">
        <v>1050</v>
      </c>
      <c r="F1775" s="29" t="s">
        <v>1050</v>
      </c>
      <c r="G1775" s="56" t="str">
        <f t="shared" ca="1" si="286"/>
        <v/>
      </c>
      <c r="H1775" s="28" t="str">
        <f t="shared" ca="1" si="287"/>
        <v/>
      </c>
      <c r="J1775" s="38" t="str">
        <f t="shared" si="288"/>
        <v xml:space="preserve"> </v>
      </c>
      <c r="K1775" s="39">
        <f t="shared" si="289"/>
        <v>0</v>
      </c>
      <c r="L1775" s="39" t="str">
        <f t="shared" si="290"/>
        <v/>
      </c>
      <c r="M1775" s="40" t="str">
        <f t="shared" si="291"/>
        <v xml:space="preserve"> </v>
      </c>
      <c r="N1775" s="41" t="str">
        <f t="shared" ca="1" si="292"/>
        <v/>
      </c>
      <c r="O1775" s="41" t="str">
        <f t="shared" si="293"/>
        <v xml:space="preserve"> </v>
      </c>
      <c r="P1775" s="60">
        <f t="shared" si="294"/>
        <v>0</v>
      </c>
    </row>
    <row r="1776" spans="1:16" ht="15" customHeight="1">
      <c r="A1776" s="28">
        <v>0</v>
      </c>
      <c r="B1776" s="28" t="s">
        <v>1053</v>
      </c>
      <c r="C1776" s="129" t="s">
        <v>1050</v>
      </c>
      <c r="D1776" s="128">
        <v>0</v>
      </c>
      <c r="E1776" s="128" t="s">
        <v>1050</v>
      </c>
      <c r="F1776" s="29" t="s">
        <v>1050</v>
      </c>
      <c r="G1776" s="56" t="str">
        <f t="shared" ca="1" si="286"/>
        <v/>
      </c>
      <c r="H1776" s="28" t="str">
        <f t="shared" ca="1" si="287"/>
        <v/>
      </c>
      <c r="J1776" s="38" t="str">
        <f t="shared" si="288"/>
        <v xml:space="preserve"> </v>
      </c>
      <c r="K1776" s="39">
        <f t="shared" si="289"/>
        <v>0</v>
      </c>
      <c r="L1776" s="39" t="str">
        <f t="shared" si="290"/>
        <v/>
      </c>
      <c r="M1776" s="40" t="str">
        <f t="shared" si="291"/>
        <v xml:space="preserve"> </v>
      </c>
      <c r="N1776" s="41" t="str">
        <f t="shared" ca="1" si="292"/>
        <v/>
      </c>
      <c r="O1776" s="41" t="str">
        <f t="shared" si="293"/>
        <v xml:space="preserve"> </v>
      </c>
      <c r="P1776" s="60">
        <f t="shared" si="294"/>
        <v>0</v>
      </c>
    </row>
    <row r="1777" spans="1:16" ht="15" customHeight="1">
      <c r="A1777" s="28">
        <v>0</v>
      </c>
      <c r="B1777" s="28" t="s">
        <v>1053</v>
      </c>
      <c r="C1777" s="129" t="s">
        <v>1050</v>
      </c>
      <c r="D1777" s="128">
        <v>0</v>
      </c>
      <c r="E1777" s="128" t="s">
        <v>1050</v>
      </c>
      <c r="F1777" s="29" t="s">
        <v>1050</v>
      </c>
      <c r="G1777" s="56" t="str">
        <f t="shared" ca="1" si="286"/>
        <v/>
      </c>
      <c r="H1777" s="28" t="str">
        <f t="shared" ca="1" si="287"/>
        <v/>
      </c>
      <c r="J1777" s="38" t="str">
        <f t="shared" si="288"/>
        <v xml:space="preserve"> </v>
      </c>
      <c r="K1777" s="39">
        <f t="shared" si="289"/>
        <v>0</v>
      </c>
      <c r="L1777" s="39" t="str">
        <f t="shared" si="290"/>
        <v/>
      </c>
      <c r="M1777" s="40" t="str">
        <f t="shared" si="291"/>
        <v xml:space="preserve"> </v>
      </c>
      <c r="N1777" s="41" t="str">
        <f t="shared" ca="1" si="292"/>
        <v/>
      </c>
      <c r="O1777" s="41" t="str">
        <f t="shared" si="293"/>
        <v xml:space="preserve"> </v>
      </c>
      <c r="P1777" s="60">
        <f t="shared" si="294"/>
        <v>0</v>
      </c>
    </row>
    <row r="1778" spans="1:16" ht="15" customHeight="1">
      <c r="A1778" s="28">
        <v>0</v>
      </c>
      <c r="B1778" s="28" t="s">
        <v>1053</v>
      </c>
      <c r="C1778" s="129" t="s">
        <v>1050</v>
      </c>
      <c r="D1778" s="128">
        <v>0</v>
      </c>
      <c r="E1778" s="128" t="s">
        <v>1050</v>
      </c>
      <c r="F1778" s="29" t="s">
        <v>1050</v>
      </c>
      <c r="G1778" s="56" t="str">
        <f t="shared" ca="1" si="286"/>
        <v/>
      </c>
      <c r="H1778" s="28" t="str">
        <f t="shared" ca="1" si="287"/>
        <v/>
      </c>
      <c r="J1778" s="38" t="str">
        <f t="shared" si="288"/>
        <v xml:space="preserve"> </v>
      </c>
      <c r="K1778" s="39">
        <f t="shared" si="289"/>
        <v>0</v>
      </c>
      <c r="L1778" s="39" t="str">
        <f t="shared" si="290"/>
        <v/>
      </c>
      <c r="M1778" s="40" t="str">
        <f t="shared" si="291"/>
        <v xml:space="preserve"> </v>
      </c>
      <c r="N1778" s="41" t="str">
        <f t="shared" ca="1" si="292"/>
        <v/>
      </c>
      <c r="O1778" s="41" t="str">
        <f t="shared" si="293"/>
        <v xml:space="preserve"> </v>
      </c>
      <c r="P1778" s="60">
        <f t="shared" si="294"/>
        <v>0</v>
      </c>
    </row>
    <row r="1779" spans="1:16" ht="15" customHeight="1">
      <c r="A1779" s="28">
        <v>0</v>
      </c>
      <c r="B1779" s="28" t="s">
        <v>1053</v>
      </c>
      <c r="C1779" s="129" t="s">
        <v>1050</v>
      </c>
      <c r="D1779" s="128">
        <v>0</v>
      </c>
      <c r="E1779" s="128" t="s">
        <v>1050</v>
      </c>
      <c r="F1779" s="29" t="s">
        <v>1050</v>
      </c>
      <c r="G1779" s="56" t="str">
        <f t="shared" ca="1" si="286"/>
        <v/>
      </c>
      <c r="H1779" s="28" t="str">
        <f t="shared" ca="1" si="287"/>
        <v/>
      </c>
      <c r="J1779" s="38" t="str">
        <f t="shared" si="288"/>
        <v xml:space="preserve"> </v>
      </c>
      <c r="K1779" s="39">
        <f t="shared" si="289"/>
        <v>0</v>
      </c>
      <c r="L1779" s="39" t="str">
        <f t="shared" si="290"/>
        <v/>
      </c>
      <c r="M1779" s="40" t="str">
        <f t="shared" si="291"/>
        <v xml:space="preserve"> </v>
      </c>
      <c r="N1779" s="41" t="str">
        <f t="shared" ca="1" si="292"/>
        <v/>
      </c>
      <c r="O1779" s="41" t="str">
        <f t="shared" si="293"/>
        <v xml:space="preserve"> </v>
      </c>
      <c r="P1779" s="60">
        <f t="shared" si="294"/>
        <v>0</v>
      </c>
    </row>
    <row r="1780" spans="1:16" ht="15" customHeight="1">
      <c r="A1780" s="28">
        <v>0</v>
      </c>
      <c r="B1780" s="28" t="s">
        <v>1053</v>
      </c>
      <c r="C1780" s="129" t="s">
        <v>1050</v>
      </c>
      <c r="D1780" s="128">
        <v>0</v>
      </c>
      <c r="E1780" s="128" t="s">
        <v>1050</v>
      </c>
      <c r="F1780" s="29" t="s">
        <v>1050</v>
      </c>
      <c r="G1780" s="56" t="str">
        <f t="shared" ca="1" si="286"/>
        <v/>
      </c>
      <c r="H1780" s="28" t="str">
        <f t="shared" ca="1" si="287"/>
        <v/>
      </c>
      <c r="J1780" s="38" t="str">
        <f t="shared" si="288"/>
        <v xml:space="preserve"> </v>
      </c>
      <c r="K1780" s="39">
        <f t="shared" si="289"/>
        <v>0</v>
      </c>
      <c r="L1780" s="39" t="str">
        <f t="shared" si="290"/>
        <v/>
      </c>
      <c r="M1780" s="40" t="str">
        <f t="shared" si="291"/>
        <v xml:space="preserve"> </v>
      </c>
      <c r="N1780" s="41" t="str">
        <f t="shared" ca="1" si="292"/>
        <v/>
      </c>
      <c r="O1780" s="41" t="str">
        <f t="shared" si="293"/>
        <v xml:space="preserve"> </v>
      </c>
      <c r="P1780" s="60">
        <f t="shared" si="294"/>
        <v>0</v>
      </c>
    </row>
    <row r="1781" spans="1:16" ht="15" customHeight="1">
      <c r="A1781" s="28">
        <v>0</v>
      </c>
      <c r="B1781" s="28" t="s">
        <v>1053</v>
      </c>
      <c r="C1781" s="129" t="s">
        <v>1050</v>
      </c>
      <c r="D1781" s="128">
        <v>0</v>
      </c>
      <c r="E1781" s="128" t="s">
        <v>1050</v>
      </c>
      <c r="F1781" s="29" t="s">
        <v>1050</v>
      </c>
      <c r="G1781" s="56" t="str">
        <f t="shared" ca="1" si="286"/>
        <v/>
      </c>
      <c r="H1781" s="28" t="str">
        <f t="shared" ca="1" si="287"/>
        <v/>
      </c>
      <c r="J1781" s="38" t="str">
        <f t="shared" si="288"/>
        <v xml:space="preserve"> </v>
      </c>
      <c r="K1781" s="39">
        <f t="shared" si="289"/>
        <v>0</v>
      </c>
      <c r="L1781" s="39" t="str">
        <f t="shared" si="290"/>
        <v/>
      </c>
      <c r="M1781" s="40" t="str">
        <f t="shared" si="291"/>
        <v xml:space="preserve"> </v>
      </c>
      <c r="N1781" s="41" t="str">
        <f t="shared" ca="1" si="292"/>
        <v/>
      </c>
      <c r="O1781" s="41" t="str">
        <f t="shared" si="293"/>
        <v xml:space="preserve"> </v>
      </c>
      <c r="P1781" s="60">
        <f t="shared" si="294"/>
        <v>0</v>
      </c>
    </row>
    <row r="1782" spans="1:16" ht="15" customHeight="1">
      <c r="A1782" s="28">
        <v>0</v>
      </c>
      <c r="B1782" s="28" t="s">
        <v>1053</v>
      </c>
      <c r="C1782" s="129" t="s">
        <v>1050</v>
      </c>
      <c r="D1782" s="128">
        <v>0</v>
      </c>
      <c r="E1782" s="128" t="s">
        <v>1050</v>
      </c>
      <c r="F1782" s="29" t="s">
        <v>1050</v>
      </c>
      <c r="G1782" s="56" t="str">
        <f t="shared" ca="1" si="286"/>
        <v/>
      </c>
      <c r="H1782" s="28" t="str">
        <f t="shared" ca="1" si="287"/>
        <v/>
      </c>
      <c r="J1782" s="38" t="str">
        <f t="shared" si="288"/>
        <v xml:space="preserve"> </v>
      </c>
      <c r="K1782" s="39">
        <f t="shared" si="289"/>
        <v>0</v>
      </c>
      <c r="L1782" s="39" t="str">
        <f t="shared" si="290"/>
        <v/>
      </c>
      <c r="M1782" s="40" t="str">
        <f t="shared" si="291"/>
        <v xml:space="preserve"> </v>
      </c>
      <c r="N1782" s="41" t="str">
        <f t="shared" ca="1" si="292"/>
        <v/>
      </c>
      <c r="O1782" s="41" t="str">
        <f t="shared" si="293"/>
        <v xml:space="preserve"> </v>
      </c>
      <c r="P1782" s="60">
        <f t="shared" si="294"/>
        <v>0</v>
      </c>
    </row>
    <row r="1783" spans="1:16" ht="15" customHeight="1">
      <c r="A1783" s="28">
        <v>0</v>
      </c>
      <c r="B1783" s="28" t="s">
        <v>1053</v>
      </c>
      <c r="C1783" s="129" t="s">
        <v>1050</v>
      </c>
      <c r="D1783" s="128">
        <v>0</v>
      </c>
      <c r="E1783" s="128" t="s">
        <v>1050</v>
      </c>
      <c r="F1783" s="29" t="s">
        <v>1050</v>
      </c>
      <c r="G1783" s="56" t="str">
        <f t="shared" ca="1" si="286"/>
        <v/>
      </c>
      <c r="H1783" s="28" t="str">
        <f t="shared" ca="1" si="287"/>
        <v/>
      </c>
      <c r="J1783" s="38" t="str">
        <f t="shared" si="288"/>
        <v xml:space="preserve"> </v>
      </c>
      <c r="K1783" s="39">
        <f t="shared" si="289"/>
        <v>0</v>
      </c>
      <c r="L1783" s="39" t="str">
        <f t="shared" si="290"/>
        <v/>
      </c>
      <c r="M1783" s="40" t="str">
        <f t="shared" si="291"/>
        <v xml:space="preserve"> </v>
      </c>
      <c r="N1783" s="41" t="str">
        <f t="shared" ca="1" si="292"/>
        <v/>
      </c>
      <c r="O1783" s="41" t="str">
        <f t="shared" si="293"/>
        <v xml:space="preserve"> </v>
      </c>
      <c r="P1783" s="60">
        <f t="shared" si="294"/>
        <v>0</v>
      </c>
    </row>
    <row r="1784" spans="1:16" ht="15" customHeight="1">
      <c r="A1784" s="28">
        <v>0</v>
      </c>
      <c r="B1784" s="28" t="s">
        <v>1053</v>
      </c>
      <c r="C1784" s="129" t="s">
        <v>1050</v>
      </c>
      <c r="D1784" s="128">
        <v>0</v>
      </c>
      <c r="E1784" s="128" t="s">
        <v>1050</v>
      </c>
      <c r="F1784" s="29" t="s">
        <v>1050</v>
      </c>
      <c r="G1784" s="56" t="str">
        <f t="shared" ca="1" si="286"/>
        <v/>
      </c>
      <c r="H1784" s="28" t="str">
        <f t="shared" ca="1" si="287"/>
        <v/>
      </c>
      <c r="J1784" s="38" t="str">
        <f t="shared" si="288"/>
        <v xml:space="preserve"> </v>
      </c>
      <c r="K1784" s="39">
        <f t="shared" si="289"/>
        <v>0</v>
      </c>
      <c r="L1784" s="39" t="str">
        <f t="shared" si="290"/>
        <v/>
      </c>
      <c r="M1784" s="40" t="str">
        <f t="shared" si="291"/>
        <v xml:space="preserve"> </v>
      </c>
      <c r="N1784" s="41" t="str">
        <f t="shared" ca="1" si="292"/>
        <v/>
      </c>
      <c r="O1784" s="41" t="str">
        <f t="shared" si="293"/>
        <v xml:space="preserve"> </v>
      </c>
      <c r="P1784" s="60">
        <f t="shared" si="294"/>
        <v>0</v>
      </c>
    </row>
    <row r="1785" spans="1:16" ht="15" customHeight="1">
      <c r="A1785" s="28">
        <v>0</v>
      </c>
      <c r="B1785" s="28" t="s">
        <v>1053</v>
      </c>
      <c r="C1785" s="129" t="s">
        <v>1050</v>
      </c>
      <c r="D1785" s="128">
        <v>0</v>
      </c>
      <c r="E1785" s="128" t="s">
        <v>1050</v>
      </c>
      <c r="F1785" s="29" t="s">
        <v>1050</v>
      </c>
      <c r="G1785" s="56" t="str">
        <f t="shared" ca="1" si="286"/>
        <v/>
      </c>
      <c r="H1785" s="28" t="str">
        <f t="shared" ca="1" si="287"/>
        <v/>
      </c>
      <c r="J1785" s="38" t="str">
        <f t="shared" si="288"/>
        <v xml:space="preserve"> </v>
      </c>
      <c r="K1785" s="39">
        <f t="shared" si="289"/>
        <v>0</v>
      </c>
      <c r="L1785" s="39" t="str">
        <f t="shared" si="290"/>
        <v/>
      </c>
      <c r="M1785" s="40" t="str">
        <f t="shared" si="291"/>
        <v xml:space="preserve"> </v>
      </c>
      <c r="N1785" s="41" t="str">
        <f t="shared" ca="1" si="292"/>
        <v/>
      </c>
      <c r="O1785" s="41" t="str">
        <f t="shared" si="293"/>
        <v xml:space="preserve"> </v>
      </c>
      <c r="P1785" s="60">
        <f t="shared" si="294"/>
        <v>0</v>
      </c>
    </row>
    <row r="1786" spans="1:16" ht="15" customHeight="1">
      <c r="A1786" s="28">
        <v>0</v>
      </c>
      <c r="B1786" s="28" t="s">
        <v>1053</v>
      </c>
      <c r="C1786" s="129" t="s">
        <v>1050</v>
      </c>
      <c r="D1786" s="128">
        <v>0</v>
      </c>
      <c r="E1786" s="128" t="s">
        <v>1050</v>
      </c>
      <c r="F1786" s="29" t="s">
        <v>1050</v>
      </c>
      <c r="G1786" s="56" t="str">
        <f t="shared" ca="1" si="286"/>
        <v/>
      </c>
      <c r="H1786" s="28" t="str">
        <f t="shared" ca="1" si="287"/>
        <v/>
      </c>
      <c r="J1786" s="38" t="str">
        <f t="shared" si="288"/>
        <v xml:space="preserve"> </v>
      </c>
      <c r="K1786" s="39">
        <f t="shared" si="289"/>
        <v>0</v>
      </c>
      <c r="L1786" s="39" t="str">
        <f t="shared" si="290"/>
        <v/>
      </c>
      <c r="M1786" s="40" t="str">
        <f t="shared" si="291"/>
        <v xml:space="preserve"> </v>
      </c>
      <c r="N1786" s="41" t="str">
        <f t="shared" ca="1" si="292"/>
        <v/>
      </c>
      <c r="O1786" s="41" t="str">
        <f t="shared" si="293"/>
        <v xml:space="preserve"> </v>
      </c>
      <c r="P1786" s="60">
        <f t="shared" si="294"/>
        <v>0</v>
      </c>
    </row>
    <row r="1787" spans="1:16" ht="15" customHeight="1">
      <c r="A1787" s="28">
        <v>0</v>
      </c>
      <c r="B1787" s="28" t="s">
        <v>1053</v>
      </c>
      <c r="C1787" s="129" t="s">
        <v>1050</v>
      </c>
      <c r="D1787" s="128">
        <v>0</v>
      </c>
      <c r="E1787" s="128" t="s">
        <v>1050</v>
      </c>
      <c r="F1787" s="29" t="s">
        <v>1050</v>
      </c>
      <c r="G1787" s="56" t="str">
        <f t="shared" ca="1" si="286"/>
        <v/>
      </c>
      <c r="H1787" s="28" t="str">
        <f t="shared" ca="1" si="287"/>
        <v/>
      </c>
      <c r="J1787" s="38" t="str">
        <f t="shared" si="288"/>
        <v xml:space="preserve"> </v>
      </c>
      <c r="K1787" s="39">
        <f t="shared" si="289"/>
        <v>0</v>
      </c>
      <c r="L1787" s="39" t="str">
        <f t="shared" si="290"/>
        <v/>
      </c>
      <c r="M1787" s="40" t="str">
        <f t="shared" si="291"/>
        <v xml:space="preserve"> </v>
      </c>
      <c r="N1787" s="41" t="str">
        <f t="shared" ca="1" si="292"/>
        <v/>
      </c>
      <c r="O1787" s="41" t="str">
        <f t="shared" si="293"/>
        <v xml:space="preserve"> </v>
      </c>
      <c r="P1787" s="60">
        <f t="shared" si="294"/>
        <v>0</v>
      </c>
    </row>
    <row r="1788" spans="1:16" ht="15" customHeight="1">
      <c r="A1788" s="28">
        <v>0</v>
      </c>
      <c r="B1788" s="28" t="s">
        <v>1053</v>
      </c>
      <c r="C1788" s="129" t="s">
        <v>1050</v>
      </c>
      <c r="D1788" s="128">
        <v>0</v>
      </c>
      <c r="E1788" s="128" t="s">
        <v>1050</v>
      </c>
      <c r="F1788" s="29" t="s">
        <v>1050</v>
      </c>
      <c r="G1788" s="56" t="str">
        <f t="shared" ca="1" si="286"/>
        <v/>
      </c>
      <c r="H1788" s="28" t="str">
        <f t="shared" ca="1" si="287"/>
        <v/>
      </c>
      <c r="J1788" s="38" t="str">
        <f t="shared" si="288"/>
        <v xml:space="preserve"> </v>
      </c>
      <c r="K1788" s="39">
        <f t="shared" si="289"/>
        <v>0</v>
      </c>
      <c r="L1788" s="39" t="str">
        <f t="shared" si="290"/>
        <v/>
      </c>
      <c r="M1788" s="40" t="str">
        <f t="shared" si="291"/>
        <v xml:space="preserve"> </v>
      </c>
      <c r="N1788" s="41" t="str">
        <f t="shared" ca="1" si="292"/>
        <v/>
      </c>
      <c r="O1788" s="41" t="str">
        <f t="shared" si="293"/>
        <v xml:space="preserve"> </v>
      </c>
      <c r="P1788" s="60">
        <f t="shared" si="294"/>
        <v>0</v>
      </c>
    </row>
    <row r="1789" spans="1:16" ht="15" customHeight="1">
      <c r="A1789" s="28">
        <v>0</v>
      </c>
      <c r="B1789" s="28" t="s">
        <v>1053</v>
      </c>
      <c r="C1789" s="129" t="s">
        <v>1050</v>
      </c>
      <c r="D1789" s="128">
        <v>0</v>
      </c>
      <c r="E1789" s="128" t="s">
        <v>1050</v>
      </c>
      <c r="F1789" s="29" t="s">
        <v>1050</v>
      </c>
      <c r="G1789" s="56" t="str">
        <f t="shared" ca="1" si="286"/>
        <v/>
      </c>
      <c r="H1789" s="28" t="str">
        <f t="shared" ca="1" si="287"/>
        <v/>
      </c>
      <c r="J1789" s="38" t="str">
        <f t="shared" si="288"/>
        <v xml:space="preserve"> </v>
      </c>
      <c r="K1789" s="39">
        <f t="shared" si="289"/>
        <v>0</v>
      </c>
      <c r="L1789" s="39" t="str">
        <f t="shared" si="290"/>
        <v/>
      </c>
      <c r="M1789" s="40" t="str">
        <f t="shared" si="291"/>
        <v xml:space="preserve"> </v>
      </c>
      <c r="N1789" s="41" t="str">
        <f t="shared" ca="1" si="292"/>
        <v/>
      </c>
      <c r="O1789" s="41" t="str">
        <f t="shared" si="293"/>
        <v xml:space="preserve"> </v>
      </c>
      <c r="P1789" s="60">
        <f t="shared" si="294"/>
        <v>0</v>
      </c>
    </row>
    <row r="1790" spans="1:16" ht="15" customHeight="1">
      <c r="A1790" s="28">
        <v>0</v>
      </c>
      <c r="B1790" s="28" t="s">
        <v>1053</v>
      </c>
      <c r="C1790" s="129" t="s">
        <v>1050</v>
      </c>
      <c r="D1790" s="128">
        <v>0</v>
      </c>
      <c r="E1790" s="128" t="s">
        <v>1050</v>
      </c>
      <c r="F1790" s="29" t="s">
        <v>1050</v>
      </c>
      <c r="G1790" s="56" t="str">
        <f t="shared" ca="1" si="286"/>
        <v/>
      </c>
      <c r="H1790" s="28" t="str">
        <f t="shared" ca="1" si="287"/>
        <v/>
      </c>
      <c r="J1790" s="38" t="str">
        <f t="shared" si="288"/>
        <v xml:space="preserve"> </v>
      </c>
      <c r="K1790" s="39">
        <f t="shared" si="289"/>
        <v>0</v>
      </c>
      <c r="L1790" s="39" t="str">
        <f t="shared" si="290"/>
        <v/>
      </c>
      <c r="M1790" s="40" t="str">
        <f t="shared" si="291"/>
        <v xml:space="preserve"> </v>
      </c>
      <c r="N1790" s="41" t="str">
        <f t="shared" ca="1" si="292"/>
        <v/>
      </c>
      <c r="O1790" s="41" t="str">
        <f t="shared" si="293"/>
        <v xml:space="preserve"> </v>
      </c>
      <c r="P1790" s="60">
        <f t="shared" si="294"/>
        <v>0</v>
      </c>
    </row>
    <row r="1791" spans="1:16" ht="15" customHeight="1">
      <c r="A1791" s="28">
        <v>0</v>
      </c>
      <c r="B1791" s="28" t="s">
        <v>1053</v>
      </c>
      <c r="C1791" s="129" t="s">
        <v>1050</v>
      </c>
      <c r="D1791" s="128">
        <v>0</v>
      </c>
      <c r="E1791" s="128" t="s">
        <v>1050</v>
      </c>
      <c r="F1791" s="29" t="s">
        <v>1050</v>
      </c>
      <c r="G1791" s="56" t="str">
        <f t="shared" ca="1" si="286"/>
        <v/>
      </c>
      <c r="H1791" s="28" t="str">
        <f t="shared" ca="1" si="287"/>
        <v/>
      </c>
      <c r="J1791" s="38" t="str">
        <f t="shared" si="288"/>
        <v xml:space="preserve"> </v>
      </c>
      <c r="K1791" s="39">
        <f t="shared" si="289"/>
        <v>0</v>
      </c>
      <c r="L1791" s="39" t="str">
        <f t="shared" si="290"/>
        <v/>
      </c>
      <c r="M1791" s="40" t="str">
        <f t="shared" si="291"/>
        <v xml:space="preserve"> </v>
      </c>
      <c r="N1791" s="41" t="str">
        <f t="shared" ca="1" si="292"/>
        <v/>
      </c>
      <c r="O1791" s="41" t="str">
        <f t="shared" si="293"/>
        <v xml:space="preserve"> </v>
      </c>
      <c r="P1791" s="60">
        <f t="shared" si="294"/>
        <v>0</v>
      </c>
    </row>
    <row r="1792" spans="1:16" ht="15" customHeight="1">
      <c r="A1792" s="28">
        <v>0</v>
      </c>
      <c r="B1792" s="28" t="s">
        <v>1053</v>
      </c>
      <c r="C1792" s="129" t="s">
        <v>1050</v>
      </c>
      <c r="D1792" s="128">
        <v>0</v>
      </c>
      <c r="E1792" s="128" t="s">
        <v>1050</v>
      </c>
      <c r="F1792" s="29" t="s">
        <v>1050</v>
      </c>
      <c r="G1792" s="56" t="str">
        <f t="shared" ca="1" si="286"/>
        <v/>
      </c>
      <c r="H1792" s="28" t="str">
        <f t="shared" ca="1" si="287"/>
        <v/>
      </c>
      <c r="J1792" s="38" t="str">
        <f t="shared" si="288"/>
        <v xml:space="preserve"> </v>
      </c>
      <c r="K1792" s="39">
        <f t="shared" si="289"/>
        <v>0</v>
      </c>
      <c r="L1792" s="39" t="str">
        <f t="shared" si="290"/>
        <v/>
      </c>
      <c r="M1792" s="40" t="str">
        <f t="shared" si="291"/>
        <v xml:space="preserve"> </v>
      </c>
      <c r="N1792" s="41" t="str">
        <f t="shared" ca="1" si="292"/>
        <v/>
      </c>
      <c r="O1792" s="41" t="str">
        <f t="shared" si="293"/>
        <v xml:space="preserve"> </v>
      </c>
      <c r="P1792" s="60">
        <f t="shared" si="294"/>
        <v>0</v>
      </c>
    </row>
    <row r="1793" spans="1:16" ht="15" customHeight="1">
      <c r="A1793" s="28">
        <v>0</v>
      </c>
      <c r="B1793" s="28" t="s">
        <v>1053</v>
      </c>
      <c r="C1793" s="129" t="s">
        <v>1050</v>
      </c>
      <c r="D1793" s="128">
        <v>0</v>
      </c>
      <c r="E1793" s="128" t="s">
        <v>1050</v>
      </c>
      <c r="F1793" s="29" t="s">
        <v>1050</v>
      </c>
      <c r="G1793" s="56" t="str">
        <f t="shared" ca="1" si="286"/>
        <v/>
      </c>
      <c r="H1793" s="28" t="str">
        <f t="shared" ca="1" si="287"/>
        <v/>
      </c>
      <c r="J1793" s="38" t="str">
        <f t="shared" si="288"/>
        <v xml:space="preserve"> </v>
      </c>
      <c r="K1793" s="39">
        <f t="shared" si="289"/>
        <v>0</v>
      </c>
      <c r="L1793" s="39" t="str">
        <f t="shared" si="290"/>
        <v/>
      </c>
      <c r="M1793" s="40" t="str">
        <f t="shared" si="291"/>
        <v xml:space="preserve"> </v>
      </c>
      <c r="N1793" s="41" t="str">
        <f t="shared" ca="1" si="292"/>
        <v/>
      </c>
      <c r="O1793" s="41" t="str">
        <f t="shared" si="293"/>
        <v xml:space="preserve"> </v>
      </c>
      <c r="P1793" s="60">
        <f t="shared" si="294"/>
        <v>0</v>
      </c>
    </row>
    <row r="1794" spans="1:16" ht="15" customHeight="1">
      <c r="A1794" s="28">
        <v>0</v>
      </c>
      <c r="B1794" s="28" t="s">
        <v>1053</v>
      </c>
      <c r="C1794" s="129" t="s">
        <v>1050</v>
      </c>
      <c r="D1794" s="128">
        <v>0</v>
      </c>
      <c r="E1794" s="128" t="s">
        <v>1050</v>
      </c>
      <c r="F1794" s="29" t="s">
        <v>1050</v>
      </c>
      <c r="G1794" s="56" t="str">
        <f t="shared" ca="1" si="286"/>
        <v/>
      </c>
      <c r="H1794" s="28" t="str">
        <f t="shared" ca="1" si="287"/>
        <v/>
      </c>
      <c r="J1794" s="38" t="str">
        <f t="shared" si="288"/>
        <v xml:space="preserve"> </v>
      </c>
      <c r="K1794" s="39">
        <f t="shared" si="289"/>
        <v>0</v>
      </c>
      <c r="L1794" s="39" t="str">
        <f t="shared" si="290"/>
        <v/>
      </c>
      <c r="M1794" s="40" t="str">
        <f t="shared" si="291"/>
        <v xml:space="preserve"> </v>
      </c>
      <c r="N1794" s="41" t="str">
        <f t="shared" ca="1" si="292"/>
        <v/>
      </c>
      <c r="O1794" s="41" t="str">
        <f t="shared" si="293"/>
        <v xml:space="preserve"> </v>
      </c>
      <c r="P1794" s="60">
        <f t="shared" si="294"/>
        <v>0</v>
      </c>
    </row>
    <row r="1795" spans="1:16" ht="15" customHeight="1">
      <c r="A1795" s="28">
        <v>0</v>
      </c>
      <c r="B1795" s="28" t="s">
        <v>1053</v>
      </c>
      <c r="C1795" s="129" t="s">
        <v>1050</v>
      </c>
      <c r="D1795" s="128">
        <v>0</v>
      </c>
      <c r="E1795" s="128" t="s">
        <v>1050</v>
      </c>
      <c r="F1795" s="29" t="s">
        <v>1050</v>
      </c>
      <c r="G1795" s="56" t="str">
        <f t="shared" ref="G1795:G1858" ca="1" si="295">IFERROR(IF(YEAR(TODAY())-YEAR(F1795)&lt;7," ",IF(YEAR(TODAY())-YEAR(F1795)&lt;10,"Benjamim A",IF(YEAR(TODAY())-YEAR(F1795)&lt;12,"Benjamim B",IF(YEAR(TODAY())-YEAR(F1795)&lt;14,"Infantil",IF(YEAR(TODAY())-YEAR(F1795)&lt;16,"Iniciado",IF(YEAR(TODAY())-YEAR(F1795)&lt;18,"Juvenil",IF(YEAR(TODAY())-YEAR(F1795)&lt;20,"Júnior",IF(YEAR(TODAY())-YEAR(F1795)&lt;23,"sub 23",IF(ROUNDDOWN(INT(TODAY()-F1795)/365.25,0)&lt;35,"Sénior",IF(ROUNDDOWN(INT(TODAY()-F1795)/365.25,0)&lt;40,"V 35",IF(ROUNDDOWN(INT(TODAY()-F1795)/365.25,0)&lt;45,"V 40",IF(ROUNDDOWN(INT(TODAY()-F1795)/365.25,0)&lt;50,"V 45",IF(ROUNDDOWN(INT(TODAY()-F1795)/365.25,0)&lt;55,"V 50",IF(ROUNDDOWN(INT(TODAY()-F1795)/365.25,0)&lt;60,"V 55",IF(ROUNDDOWN(INT(TODAY()-F1795)/365.25,0)&lt;65,"V 60",IF(ROUNDDOWN(INT(TODAY()-F1795)/365.25,0)&lt;70,"V 65",IF(ROUNDDOWN(INT(TODAY()-F1795)/365.25,0)&lt;75,"V 70",IF(ROUNDDOWN(INT(TODAY()-F1795)/365.25,0)&lt;80,"V 75",IF(ROUNDDOWN(INT(TODAY()-F1795)/365.25,0)&lt;85,"V 80",IF(ROUNDDOWN(INT(TODAY()-F1795)/365.25,0)&lt;90,"V 85",IF(ROUNDDOWN(INT(TODAY()-F1795)/365.25,0)&lt;95,"V 90",IF(ROUNDDOWN(INT(TODAY()-F1795)/365.25,0)&lt;100,"V 95",IF(ROUNDDOWN(INT(TODAY()-F1795)/365.25,0)&gt;=100,"V 100",""))))))))))))))))))))))),"")</f>
        <v/>
      </c>
      <c r="H1795" s="28" t="str">
        <f t="shared" ca="1" si="287"/>
        <v/>
      </c>
      <c r="J1795" s="38" t="str">
        <f t="shared" si="288"/>
        <v xml:space="preserve"> </v>
      </c>
      <c r="K1795" s="39">
        <f t="shared" si="289"/>
        <v>0</v>
      </c>
      <c r="L1795" s="39" t="str">
        <f t="shared" si="290"/>
        <v/>
      </c>
      <c r="M1795" s="40" t="str">
        <f t="shared" si="291"/>
        <v xml:space="preserve"> </v>
      </c>
      <c r="N1795" s="41" t="str">
        <f t="shared" ca="1" si="292"/>
        <v/>
      </c>
      <c r="O1795" s="41" t="str">
        <f t="shared" si="293"/>
        <v xml:space="preserve"> </v>
      </c>
      <c r="P1795" s="60">
        <f t="shared" si="294"/>
        <v>0</v>
      </c>
    </row>
    <row r="1796" spans="1:16" ht="15" customHeight="1">
      <c r="A1796" s="28">
        <v>0</v>
      </c>
      <c r="B1796" s="28" t="s">
        <v>1053</v>
      </c>
      <c r="C1796" s="129" t="s">
        <v>1050</v>
      </c>
      <c r="D1796" s="128">
        <v>0</v>
      </c>
      <c r="E1796" s="128" t="s">
        <v>1050</v>
      </c>
      <c r="F1796" s="29" t="s">
        <v>1050</v>
      </c>
      <c r="G1796" s="56" t="str">
        <f t="shared" ca="1" si="295"/>
        <v/>
      </c>
      <c r="H1796" s="28" t="str">
        <f t="shared" ca="1" si="287"/>
        <v/>
      </c>
      <c r="J1796" s="38" t="str">
        <f t="shared" si="288"/>
        <v xml:space="preserve"> </v>
      </c>
      <c r="K1796" s="39">
        <f t="shared" si="289"/>
        <v>0</v>
      </c>
      <c r="L1796" s="39" t="str">
        <f t="shared" si="290"/>
        <v/>
      </c>
      <c r="M1796" s="40" t="str">
        <f t="shared" si="291"/>
        <v xml:space="preserve"> </v>
      </c>
      <c r="N1796" s="41" t="str">
        <f t="shared" ca="1" si="292"/>
        <v/>
      </c>
      <c r="O1796" s="41" t="str">
        <f t="shared" si="293"/>
        <v xml:space="preserve"> </v>
      </c>
      <c r="P1796" s="60">
        <f t="shared" si="294"/>
        <v>0</v>
      </c>
    </row>
    <row r="1797" spans="1:16" ht="15" customHeight="1">
      <c r="A1797" s="28">
        <v>0</v>
      </c>
      <c r="B1797" s="28" t="s">
        <v>1053</v>
      </c>
      <c r="C1797" s="129" t="s">
        <v>1050</v>
      </c>
      <c r="D1797" s="128">
        <v>0</v>
      </c>
      <c r="E1797" s="128" t="s">
        <v>1050</v>
      </c>
      <c r="F1797" s="29" t="s">
        <v>1050</v>
      </c>
      <c r="G1797" s="56" t="str">
        <f t="shared" ca="1" si="295"/>
        <v/>
      </c>
      <c r="H1797" s="28" t="str">
        <f t="shared" ca="1" si="287"/>
        <v/>
      </c>
      <c r="J1797" s="38" t="str">
        <f t="shared" si="288"/>
        <v xml:space="preserve"> </v>
      </c>
      <c r="K1797" s="39">
        <f t="shared" si="289"/>
        <v>0</v>
      </c>
      <c r="L1797" s="39" t="str">
        <f t="shared" si="290"/>
        <v/>
      </c>
      <c r="M1797" s="40" t="str">
        <f t="shared" si="291"/>
        <v xml:space="preserve"> </v>
      </c>
      <c r="N1797" s="41" t="str">
        <f t="shared" ca="1" si="292"/>
        <v/>
      </c>
      <c r="O1797" s="41" t="str">
        <f t="shared" si="293"/>
        <v xml:space="preserve"> </v>
      </c>
      <c r="P1797" s="60">
        <f t="shared" si="294"/>
        <v>0</v>
      </c>
    </row>
    <row r="1798" spans="1:16" ht="15" customHeight="1">
      <c r="A1798" s="28">
        <v>0</v>
      </c>
      <c r="B1798" s="28" t="s">
        <v>1053</v>
      </c>
      <c r="C1798" s="129" t="s">
        <v>1050</v>
      </c>
      <c r="D1798" s="128">
        <v>0</v>
      </c>
      <c r="E1798" s="128" t="s">
        <v>1050</v>
      </c>
      <c r="F1798" s="29" t="s">
        <v>1050</v>
      </c>
      <c r="G1798" s="56" t="str">
        <f t="shared" ca="1" si="295"/>
        <v/>
      </c>
      <c r="H1798" s="28" t="str">
        <f t="shared" ca="1" si="287"/>
        <v/>
      </c>
      <c r="J1798" s="38" t="str">
        <f t="shared" si="288"/>
        <v xml:space="preserve"> </v>
      </c>
      <c r="K1798" s="39">
        <f t="shared" si="289"/>
        <v>0</v>
      </c>
      <c r="L1798" s="39" t="str">
        <f t="shared" si="290"/>
        <v/>
      </c>
      <c r="M1798" s="40" t="str">
        <f t="shared" si="291"/>
        <v xml:space="preserve"> </v>
      </c>
      <c r="N1798" s="41" t="str">
        <f t="shared" ca="1" si="292"/>
        <v/>
      </c>
      <c r="O1798" s="41" t="str">
        <f t="shared" si="293"/>
        <v xml:space="preserve"> </v>
      </c>
      <c r="P1798" s="60">
        <f t="shared" si="294"/>
        <v>0</v>
      </c>
    </row>
    <row r="1799" spans="1:16" ht="15" customHeight="1">
      <c r="A1799" s="28">
        <v>0</v>
      </c>
      <c r="B1799" s="28" t="s">
        <v>1053</v>
      </c>
      <c r="C1799" s="129" t="s">
        <v>1050</v>
      </c>
      <c r="D1799" s="128">
        <v>0</v>
      </c>
      <c r="E1799" s="128" t="s">
        <v>1050</v>
      </c>
      <c r="F1799" s="29" t="s">
        <v>1050</v>
      </c>
      <c r="G1799" s="56" t="str">
        <f t="shared" ca="1" si="295"/>
        <v/>
      </c>
      <c r="H1799" s="28" t="str">
        <f t="shared" ca="1" si="287"/>
        <v/>
      </c>
      <c r="J1799" s="38" t="str">
        <f t="shared" si="288"/>
        <v xml:space="preserve"> </v>
      </c>
      <c r="K1799" s="39">
        <f t="shared" si="289"/>
        <v>0</v>
      </c>
      <c r="L1799" s="39" t="str">
        <f t="shared" si="290"/>
        <v/>
      </c>
      <c r="M1799" s="40" t="str">
        <f t="shared" si="291"/>
        <v xml:space="preserve"> </v>
      </c>
      <c r="N1799" s="41" t="str">
        <f t="shared" ca="1" si="292"/>
        <v/>
      </c>
      <c r="O1799" s="41" t="str">
        <f t="shared" si="293"/>
        <v xml:space="preserve"> </v>
      </c>
      <c r="P1799" s="60">
        <f t="shared" si="294"/>
        <v>0</v>
      </c>
    </row>
    <row r="1800" spans="1:16" ht="15" customHeight="1">
      <c r="A1800" s="28">
        <v>0</v>
      </c>
      <c r="B1800" s="28" t="s">
        <v>1053</v>
      </c>
      <c r="C1800" s="129" t="s">
        <v>1050</v>
      </c>
      <c r="D1800" s="128">
        <v>0</v>
      </c>
      <c r="E1800" s="128" t="s">
        <v>1050</v>
      </c>
      <c r="F1800" s="29" t="s">
        <v>1050</v>
      </c>
      <c r="G1800" s="56" t="str">
        <f t="shared" ca="1" si="295"/>
        <v/>
      </c>
      <c r="H1800" s="28" t="str">
        <f t="shared" ca="1" si="287"/>
        <v/>
      </c>
      <c r="J1800" s="38" t="str">
        <f t="shared" si="288"/>
        <v xml:space="preserve"> </v>
      </c>
      <c r="K1800" s="39">
        <f t="shared" si="289"/>
        <v>0</v>
      </c>
      <c r="L1800" s="39" t="str">
        <f t="shared" si="290"/>
        <v/>
      </c>
      <c r="M1800" s="40" t="str">
        <f t="shared" si="291"/>
        <v xml:space="preserve"> </v>
      </c>
      <c r="N1800" s="41" t="str">
        <f t="shared" ca="1" si="292"/>
        <v/>
      </c>
      <c r="O1800" s="41" t="str">
        <f t="shared" si="293"/>
        <v xml:space="preserve"> </v>
      </c>
      <c r="P1800" s="60">
        <f t="shared" si="294"/>
        <v>0</v>
      </c>
    </row>
    <row r="1801" spans="1:16" ht="15" customHeight="1">
      <c r="A1801" s="28">
        <v>0</v>
      </c>
      <c r="B1801" s="28" t="s">
        <v>1053</v>
      </c>
      <c r="C1801" s="129" t="s">
        <v>1050</v>
      </c>
      <c r="D1801" s="128">
        <v>0</v>
      </c>
      <c r="E1801" s="128" t="s">
        <v>1050</v>
      </c>
      <c r="F1801" s="29" t="s">
        <v>1050</v>
      </c>
      <c r="G1801" s="56" t="str">
        <f t="shared" ca="1" si="295"/>
        <v/>
      </c>
      <c r="H1801" s="28" t="str">
        <f t="shared" ca="1" si="287"/>
        <v/>
      </c>
      <c r="J1801" s="38" t="str">
        <f t="shared" si="288"/>
        <v xml:space="preserve"> </v>
      </c>
      <c r="K1801" s="39">
        <f t="shared" si="289"/>
        <v>0</v>
      </c>
      <c r="L1801" s="39" t="str">
        <f t="shared" si="290"/>
        <v/>
      </c>
      <c r="M1801" s="40" t="str">
        <f t="shared" si="291"/>
        <v xml:space="preserve"> </v>
      </c>
      <c r="N1801" s="41" t="str">
        <f t="shared" ca="1" si="292"/>
        <v/>
      </c>
      <c r="O1801" s="41" t="str">
        <f t="shared" si="293"/>
        <v xml:space="preserve"> </v>
      </c>
      <c r="P1801" s="60">
        <f t="shared" si="294"/>
        <v>0</v>
      </c>
    </row>
    <row r="1802" spans="1:16" ht="15" customHeight="1">
      <c r="A1802" s="28">
        <v>0</v>
      </c>
      <c r="B1802" s="28" t="s">
        <v>1053</v>
      </c>
      <c r="C1802" s="129" t="s">
        <v>1050</v>
      </c>
      <c r="D1802" s="128">
        <v>0</v>
      </c>
      <c r="E1802" s="128" t="s">
        <v>1050</v>
      </c>
      <c r="F1802" s="29" t="s">
        <v>1050</v>
      </c>
      <c r="G1802" s="56" t="str">
        <f t="shared" ca="1" si="295"/>
        <v/>
      </c>
      <c r="H1802" s="28" t="str">
        <f t="shared" ca="1" si="287"/>
        <v/>
      </c>
      <c r="J1802" s="38" t="str">
        <f t="shared" si="288"/>
        <v xml:space="preserve"> </v>
      </c>
      <c r="K1802" s="39">
        <f t="shared" si="289"/>
        <v>0</v>
      </c>
      <c r="L1802" s="39" t="str">
        <f t="shared" si="290"/>
        <v/>
      </c>
      <c r="M1802" s="40" t="str">
        <f t="shared" si="291"/>
        <v xml:space="preserve"> </v>
      </c>
      <c r="N1802" s="41" t="str">
        <f t="shared" ca="1" si="292"/>
        <v/>
      </c>
      <c r="O1802" s="41" t="str">
        <f t="shared" si="293"/>
        <v xml:space="preserve"> </v>
      </c>
      <c r="P1802" s="60">
        <f t="shared" si="294"/>
        <v>0</v>
      </c>
    </row>
    <row r="1803" spans="1:16" ht="15" customHeight="1">
      <c r="A1803" s="28">
        <v>0</v>
      </c>
      <c r="B1803" s="28" t="s">
        <v>1053</v>
      </c>
      <c r="C1803" s="129" t="s">
        <v>1050</v>
      </c>
      <c r="D1803" s="128">
        <v>0</v>
      </c>
      <c r="E1803" s="128" t="s">
        <v>1050</v>
      </c>
      <c r="F1803" s="29" t="s">
        <v>1050</v>
      </c>
      <c r="G1803" s="56" t="str">
        <f t="shared" ca="1" si="295"/>
        <v/>
      </c>
      <c r="H1803" s="28" t="str">
        <f t="shared" ca="1" si="287"/>
        <v/>
      </c>
      <c r="J1803" s="38" t="str">
        <f t="shared" si="288"/>
        <v xml:space="preserve"> </v>
      </c>
      <c r="K1803" s="39">
        <f t="shared" si="289"/>
        <v>0</v>
      </c>
      <c r="L1803" s="39" t="str">
        <f t="shared" si="290"/>
        <v/>
      </c>
      <c r="M1803" s="40" t="str">
        <f t="shared" si="291"/>
        <v xml:space="preserve"> </v>
      </c>
      <c r="N1803" s="41" t="str">
        <f t="shared" ca="1" si="292"/>
        <v/>
      </c>
      <c r="O1803" s="41" t="str">
        <f t="shared" si="293"/>
        <v xml:space="preserve"> </v>
      </c>
      <c r="P1803" s="60">
        <f t="shared" si="294"/>
        <v>0</v>
      </c>
    </row>
    <row r="1804" spans="1:16" ht="15" customHeight="1">
      <c r="A1804" s="28">
        <v>0</v>
      </c>
      <c r="B1804" s="28" t="s">
        <v>1053</v>
      </c>
      <c r="C1804" s="129" t="s">
        <v>1050</v>
      </c>
      <c r="D1804" s="128">
        <v>0</v>
      </c>
      <c r="E1804" s="128" t="s">
        <v>1050</v>
      </c>
      <c r="F1804" s="29" t="s">
        <v>1050</v>
      </c>
      <c r="G1804" s="56" t="str">
        <f t="shared" ca="1" si="295"/>
        <v/>
      </c>
      <c r="H1804" s="28" t="str">
        <f t="shared" ca="1" si="287"/>
        <v/>
      </c>
      <c r="J1804" s="38" t="str">
        <f t="shared" si="288"/>
        <v xml:space="preserve"> </v>
      </c>
      <c r="K1804" s="39">
        <f t="shared" si="289"/>
        <v>0</v>
      </c>
      <c r="L1804" s="39" t="str">
        <f t="shared" si="290"/>
        <v/>
      </c>
      <c r="M1804" s="40" t="str">
        <f t="shared" si="291"/>
        <v xml:space="preserve"> </v>
      </c>
      <c r="N1804" s="41" t="str">
        <f t="shared" ca="1" si="292"/>
        <v/>
      </c>
      <c r="O1804" s="41" t="str">
        <f t="shared" si="293"/>
        <v xml:space="preserve"> </v>
      </c>
      <c r="P1804" s="60">
        <f t="shared" si="294"/>
        <v>0</v>
      </c>
    </row>
    <row r="1805" spans="1:16" ht="15" customHeight="1">
      <c r="A1805" s="28">
        <v>0</v>
      </c>
      <c r="B1805" s="28" t="s">
        <v>1053</v>
      </c>
      <c r="C1805" s="129" t="s">
        <v>1050</v>
      </c>
      <c r="D1805" s="128">
        <v>0</v>
      </c>
      <c r="E1805" s="128" t="s">
        <v>1050</v>
      </c>
      <c r="F1805" s="29" t="s">
        <v>1050</v>
      </c>
      <c r="G1805" s="56" t="str">
        <f t="shared" ca="1" si="295"/>
        <v/>
      </c>
      <c r="H1805" s="28" t="str">
        <f t="shared" ca="1" si="287"/>
        <v/>
      </c>
      <c r="J1805" s="38" t="str">
        <f t="shared" si="288"/>
        <v xml:space="preserve"> </v>
      </c>
      <c r="K1805" s="39">
        <f t="shared" si="289"/>
        <v>0</v>
      </c>
      <c r="L1805" s="39" t="str">
        <f t="shared" si="290"/>
        <v/>
      </c>
      <c r="M1805" s="40" t="str">
        <f t="shared" si="291"/>
        <v xml:space="preserve"> </v>
      </c>
      <c r="N1805" s="41" t="str">
        <f t="shared" ca="1" si="292"/>
        <v/>
      </c>
      <c r="O1805" s="41" t="str">
        <f t="shared" si="293"/>
        <v xml:space="preserve"> </v>
      </c>
      <c r="P1805" s="60">
        <f t="shared" si="294"/>
        <v>0</v>
      </c>
    </row>
    <row r="1806" spans="1:16" ht="15" customHeight="1">
      <c r="A1806" s="28">
        <v>0</v>
      </c>
      <c r="B1806" s="28" t="s">
        <v>1053</v>
      </c>
      <c r="C1806" s="129" t="s">
        <v>1050</v>
      </c>
      <c r="D1806" s="128">
        <v>0</v>
      </c>
      <c r="E1806" s="128" t="s">
        <v>1050</v>
      </c>
      <c r="F1806" s="29" t="s">
        <v>1050</v>
      </c>
      <c r="G1806" s="56" t="str">
        <f t="shared" ca="1" si="295"/>
        <v/>
      </c>
      <c r="H1806" s="28" t="str">
        <f t="shared" ca="1" si="287"/>
        <v/>
      </c>
      <c r="J1806" s="38" t="str">
        <f t="shared" si="288"/>
        <v xml:space="preserve"> </v>
      </c>
      <c r="K1806" s="39">
        <f t="shared" si="289"/>
        <v>0</v>
      </c>
      <c r="L1806" s="39" t="str">
        <f t="shared" si="290"/>
        <v/>
      </c>
      <c r="M1806" s="40" t="str">
        <f t="shared" si="291"/>
        <v xml:space="preserve"> </v>
      </c>
      <c r="N1806" s="41" t="str">
        <f t="shared" ca="1" si="292"/>
        <v/>
      </c>
      <c r="O1806" s="41" t="str">
        <f t="shared" si="293"/>
        <v xml:space="preserve"> </v>
      </c>
      <c r="P1806" s="60">
        <f t="shared" si="294"/>
        <v>0</v>
      </c>
    </row>
    <row r="1807" spans="1:16" ht="15" customHeight="1">
      <c r="A1807" s="28">
        <v>0</v>
      </c>
      <c r="B1807" s="28" t="s">
        <v>1053</v>
      </c>
      <c r="C1807" s="129" t="s">
        <v>1050</v>
      </c>
      <c r="D1807" s="128">
        <v>0</v>
      </c>
      <c r="E1807" s="128" t="s">
        <v>1050</v>
      </c>
      <c r="F1807" s="29" t="s">
        <v>1050</v>
      </c>
      <c r="G1807" s="56" t="str">
        <f t="shared" ca="1" si="295"/>
        <v/>
      </c>
      <c r="H1807" s="28" t="str">
        <f t="shared" ca="1" si="287"/>
        <v/>
      </c>
      <c r="J1807" s="38" t="str">
        <f t="shared" si="288"/>
        <v xml:space="preserve"> </v>
      </c>
      <c r="K1807" s="39">
        <f t="shared" si="289"/>
        <v>0</v>
      </c>
      <c r="L1807" s="39" t="str">
        <f t="shared" si="290"/>
        <v/>
      </c>
      <c r="M1807" s="40" t="str">
        <f t="shared" si="291"/>
        <v xml:space="preserve"> </v>
      </c>
      <c r="N1807" s="41" t="str">
        <f t="shared" ca="1" si="292"/>
        <v/>
      </c>
      <c r="O1807" s="41" t="str">
        <f t="shared" si="293"/>
        <v xml:space="preserve"> </v>
      </c>
      <c r="P1807" s="60">
        <f t="shared" si="294"/>
        <v>0</v>
      </c>
    </row>
    <row r="1808" spans="1:16" ht="15" customHeight="1">
      <c r="A1808" s="28">
        <v>0</v>
      </c>
      <c r="B1808" s="28" t="s">
        <v>1053</v>
      </c>
      <c r="C1808" s="129" t="s">
        <v>1050</v>
      </c>
      <c r="D1808" s="128">
        <v>0</v>
      </c>
      <c r="E1808" s="128" t="s">
        <v>1050</v>
      </c>
      <c r="F1808" s="29" t="s">
        <v>1050</v>
      </c>
      <c r="G1808" s="56" t="str">
        <f t="shared" ca="1" si="295"/>
        <v/>
      </c>
      <c r="H1808" s="28" t="str">
        <f t="shared" ca="1" si="287"/>
        <v/>
      </c>
      <c r="J1808" s="38" t="str">
        <f t="shared" si="288"/>
        <v xml:space="preserve"> </v>
      </c>
      <c r="K1808" s="39">
        <f t="shared" si="289"/>
        <v>0</v>
      </c>
      <c r="L1808" s="39" t="str">
        <f t="shared" si="290"/>
        <v/>
      </c>
      <c r="M1808" s="40" t="str">
        <f t="shared" si="291"/>
        <v xml:space="preserve"> </v>
      </c>
      <c r="N1808" s="41" t="str">
        <f t="shared" ca="1" si="292"/>
        <v/>
      </c>
      <c r="O1808" s="41" t="str">
        <f t="shared" si="293"/>
        <v xml:space="preserve"> </v>
      </c>
      <c r="P1808" s="60">
        <f t="shared" si="294"/>
        <v>0</v>
      </c>
    </row>
    <row r="1809" spans="1:16" ht="15" customHeight="1">
      <c r="A1809" s="28">
        <v>0</v>
      </c>
      <c r="B1809" s="28" t="s">
        <v>1053</v>
      </c>
      <c r="C1809" s="129" t="s">
        <v>1050</v>
      </c>
      <c r="D1809" s="128">
        <v>0</v>
      </c>
      <c r="E1809" s="128" t="s">
        <v>1050</v>
      </c>
      <c r="F1809" s="29" t="s">
        <v>1050</v>
      </c>
      <c r="G1809" s="56" t="str">
        <f t="shared" ca="1" si="295"/>
        <v/>
      </c>
      <c r="H1809" s="28" t="str">
        <f t="shared" ca="1" si="287"/>
        <v/>
      </c>
      <c r="J1809" s="38" t="str">
        <f t="shared" si="288"/>
        <v xml:space="preserve"> </v>
      </c>
      <c r="K1809" s="39">
        <f t="shared" si="289"/>
        <v>0</v>
      </c>
      <c r="L1809" s="39" t="str">
        <f t="shared" si="290"/>
        <v/>
      </c>
      <c r="M1809" s="40" t="str">
        <f t="shared" si="291"/>
        <v xml:space="preserve"> </v>
      </c>
      <c r="N1809" s="41" t="str">
        <f t="shared" ca="1" si="292"/>
        <v/>
      </c>
      <c r="O1809" s="41" t="str">
        <f t="shared" si="293"/>
        <v xml:space="preserve"> </v>
      </c>
      <c r="P1809" s="60">
        <f t="shared" si="294"/>
        <v>0</v>
      </c>
    </row>
    <row r="1810" spans="1:16" ht="15" customHeight="1">
      <c r="A1810" s="28">
        <v>0</v>
      </c>
      <c r="B1810" s="28" t="s">
        <v>1053</v>
      </c>
      <c r="C1810" s="129" t="s">
        <v>1050</v>
      </c>
      <c r="D1810" s="128">
        <v>0</v>
      </c>
      <c r="E1810" s="128" t="s">
        <v>1050</v>
      </c>
      <c r="F1810" s="29" t="s">
        <v>1050</v>
      </c>
      <c r="G1810" s="56" t="str">
        <f t="shared" ca="1" si="295"/>
        <v/>
      </c>
      <c r="H1810" s="28" t="str">
        <f t="shared" ca="1" si="287"/>
        <v/>
      </c>
      <c r="J1810" s="38" t="str">
        <f t="shared" si="288"/>
        <v xml:space="preserve"> </v>
      </c>
      <c r="K1810" s="39">
        <f t="shared" si="289"/>
        <v>0</v>
      </c>
      <c r="L1810" s="39" t="str">
        <f t="shared" si="290"/>
        <v/>
      </c>
      <c r="M1810" s="40" t="str">
        <f t="shared" si="291"/>
        <v xml:space="preserve"> </v>
      </c>
      <c r="N1810" s="41" t="str">
        <f t="shared" ca="1" si="292"/>
        <v/>
      </c>
      <c r="O1810" s="41" t="str">
        <f t="shared" si="293"/>
        <v xml:space="preserve"> </v>
      </c>
      <c r="P1810" s="60">
        <f t="shared" si="294"/>
        <v>0</v>
      </c>
    </row>
    <row r="1811" spans="1:16" ht="15" customHeight="1">
      <c r="A1811" s="28">
        <v>0</v>
      </c>
      <c r="B1811" s="28" t="s">
        <v>1053</v>
      </c>
      <c r="C1811" s="129" t="s">
        <v>1050</v>
      </c>
      <c r="D1811" s="128">
        <v>0</v>
      </c>
      <c r="E1811" s="128" t="s">
        <v>1050</v>
      </c>
      <c r="F1811" s="29" t="s">
        <v>1050</v>
      </c>
      <c r="G1811" s="56" t="str">
        <f t="shared" ca="1" si="295"/>
        <v/>
      </c>
      <c r="H1811" s="28" t="str">
        <f t="shared" ca="1" si="287"/>
        <v/>
      </c>
      <c r="J1811" s="38" t="str">
        <f t="shared" si="288"/>
        <v xml:space="preserve"> </v>
      </c>
      <c r="K1811" s="39">
        <f t="shared" si="289"/>
        <v>0</v>
      </c>
      <c r="L1811" s="39" t="str">
        <f t="shared" si="290"/>
        <v/>
      </c>
      <c r="M1811" s="40" t="str">
        <f t="shared" si="291"/>
        <v xml:space="preserve"> </v>
      </c>
      <c r="N1811" s="41" t="str">
        <f t="shared" ca="1" si="292"/>
        <v/>
      </c>
      <c r="O1811" s="41" t="str">
        <f t="shared" si="293"/>
        <v xml:space="preserve"> </v>
      </c>
      <c r="P1811" s="60">
        <f t="shared" si="294"/>
        <v>0</v>
      </c>
    </row>
    <row r="1812" spans="1:16" ht="15" customHeight="1">
      <c r="A1812" s="28">
        <v>0</v>
      </c>
      <c r="B1812" s="28" t="s">
        <v>1053</v>
      </c>
      <c r="C1812" s="129" t="s">
        <v>1050</v>
      </c>
      <c r="D1812" s="128">
        <v>0</v>
      </c>
      <c r="E1812" s="128" t="s">
        <v>1050</v>
      </c>
      <c r="F1812" s="29" t="s">
        <v>1050</v>
      </c>
      <c r="G1812" s="56" t="str">
        <f t="shared" ca="1" si="295"/>
        <v/>
      </c>
      <c r="H1812" s="28" t="str">
        <f t="shared" ca="1" si="287"/>
        <v/>
      </c>
      <c r="J1812" s="38" t="str">
        <f t="shared" si="288"/>
        <v xml:space="preserve"> </v>
      </c>
      <c r="K1812" s="39">
        <f t="shared" si="289"/>
        <v>0</v>
      </c>
      <c r="L1812" s="39" t="str">
        <f t="shared" si="290"/>
        <v/>
      </c>
      <c r="M1812" s="40" t="str">
        <f t="shared" si="291"/>
        <v xml:space="preserve"> </v>
      </c>
      <c r="N1812" s="41" t="str">
        <f t="shared" ca="1" si="292"/>
        <v/>
      </c>
      <c r="O1812" s="41" t="str">
        <f t="shared" si="293"/>
        <v xml:space="preserve"> </v>
      </c>
      <c r="P1812" s="60">
        <f t="shared" si="294"/>
        <v>0</v>
      </c>
    </row>
    <row r="1813" spans="1:16" ht="15" customHeight="1">
      <c r="A1813" s="28">
        <v>0</v>
      </c>
      <c r="B1813" s="28" t="s">
        <v>1053</v>
      </c>
      <c r="C1813" s="129" t="s">
        <v>1050</v>
      </c>
      <c r="D1813" s="128">
        <v>0</v>
      </c>
      <c r="E1813" s="128" t="s">
        <v>1050</v>
      </c>
      <c r="F1813" s="29" t="s">
        <v>1050</v>
      </c>
      <c r="G1813" s="56" t="str">
        <f t="shared" ca="1" si="295"/>
        <v/>
      </c>
      <c r="H1813" s="28" t="str">
        <f t="shared" ca="1" si="287"/>
        <v/>
      </c>
      <c r="J1813" s="38" t="str">
        <f t="shared" si="288"/>
        <v xml:space="preserve"> </v>
      </c>
      <c r="K1813" s="39">
        <f t="shared" si="289"/>
        <v>0</v>
      </c>
      <c r="L1813" s="39" t="str">
        <f t="shared" si="290"/>
        <v/>
      </c>
      <c r="M1813" s="40" t="str">
        <f t="shared" si="291"/>
        <v xml:space="preserve"> </v>
      </c>
      <c r="N1813" s="41" t="str">
        <f t="shared" ca="1" si="292"/>
        <v/>
      </c>
      <c r="O1813" s="41" t="str">
        <f t="shared" si="293"/>
        <v xml:space="preserve"> </v>
      </c>
      <c r="P1813" s="60">
        <f t="shared" si="294"/>
        <v>0</v>
      </c>
    </row>
    <row r="1814" spans="1:16" ht="15" customHeight="1">
      <c r="A1814" s="28">
        <v>0</v>
      </c>
      <c r="B1814" s="28" t="s">
        <v>1053</v>
      </c>
      <c r="C1814" s="129" t="s">
        <v>1050</v>
      </c>
      <c r="D1814" s="128">
        <v>0</v>
      </c>
      <c r="E1814" s="128" t="s">
        <v>1050</v>
      </c>
      <c r="F1814" s="29" t="s">
        <v>1050</v>
      </c>
      <c r="G1814" s="56" t="str">
        <f t="shared" ca="1" si="295"/>
        <v/>
      </c>
      <c r="H1814" s="28" t="str">
        <f t="shared" ca="1" si="287"/>
        <v/>
      </c>
      <c r="J1814" s="38" t="str">
        <f t="shared" si="288"/>
        <v xml:space="preserve"> </v>
      </c>
      <c r="K1814" s="39">
        <f t="shared" si="289"/>
        <v>0</v>
      </c>
      <c r="L1814" s="39" t="str">
        <f t="shared" si="290"/>
        <v/>
      </c>
      <c r="M1814" s="40" t="str">
        <f t="shared" si="291"/>
        <v xml:space="preserve"> </v>
      </c>
      <c r="N1814" s="41" t="str">
        <f t="shared" ca="1" si="292"/>
        <v/>
      </c>
      <c r="O1814" s="41" t="str">
        <f t="shared" si="293"/>
        <v xml:space="preserve"> </v>
      </c>
      <c r="P1814" s="60">
        <f t="shared" si="294"/>
        <v>0</v>
      </c>
    </row>
    <row r="1815" spans="1:16" ht="15" customHeight="1">
      <c r="A1815" s="28">
        <v>0</v>
      </c>
      <c r="B1815" s="28" t="s">
        <v>1053</v>
      </c>
      <c r="C1815" s="129" t="s">
        <v>1050</v>
      </c>
      <c r="D1815" s="128">
        <v>0</v>
      </c>
      <c r="E1815" s="128" t="s">
        <v>1050</v>
      </c>
      <c r="F1815" s="29" t="s">
        <v>1050</v>
      </c>
      <c r="G1815" s="56" t="str">
        <f t="shared" ca="1" si="295"/>
        <v/>
      </c>
      <c r="H1815" s="28" t="str">
        <f t="shared" ca="1" si="287"/>
        <v/>
      </c>
      <c r="J1815" s="38" t="str">
        <f t="shared" si="288"/>
        <v xml:space="preserve"> </v>
      </c>
      <c r="K1815" s="39">
        <f t="shared" si="289"/>
        <v>0</v>
      </c>
      <c r="L1815" s="39" t="str">
        <f t="shared" si="290"/>
        <v/>
      </c>
      <c r="M1815" s="40" t="str">
        <f t="shared" si="291"/>
        <v xml:space="preserve"> </v>
      </c>
      <c r="N1815" s="41" t="str">
        <f t="shared" ca="1" si="292"/>
        <v/>
      </c>
      <c r="O1815" s="41" t="str">
        <f t="shared" si="293"/>
        <v xml:space="preserve"> </v>
      </c>
      <c r="P1815" s="60">
        <f t="shared" si="294"/>
        <v>0</v>
      </c>
    </row>
    <row r="1816" spans="1:16" ht="15" customHeight="1">
      <c r="A1816" s="28">
        <v>0</v>
      </c>
      <c r="B1816" s="28" t="s">
        <v>1053</v>
      </c>
      <c r="C1816" s="129" t="s">
        <v>1050</v>
      </c>
      <c r="D1816" s="128">
        <v>0</v>
      </c>
      <c r="E1816" s="128" t="s">
        <v>1050</v>
      </c>
      <c r="F1816" s="29" t="s">
        <v>1050</v>
      </c>
      <c r="G1816" s="56" t="str">
        <f t="shared" ca="1" si="295"/>
        <v/>
      </c>
      <c r="H1816" s="28" t="str">
        <f t="shared" ca="1" si="287"/>
        <v/>
      </c>
      <c r="J1816" s="38" t="str">
        <f t="shared" si="288"/>
        <v xml:space="preserve"> </v>
      </c>
      <c r="K1816" s="39">
        <f t="shared" si="289"/>
        <v>0</v>
      </c>
      <c r="L1816" s="39" t="str">
        <f t="shared" si="290"/>
        <v/>
      </c>
      <c r="M1816" s="40" t="str">
        <f t="shared" si="291"/>
        <v xml:space="preserve"> </v>
      </c>
      <c r="N1816" s="41" t="str">
        <f t="shared" ca="1" si="292"/>
        <v/>
      </c>
      <c r="O1816" s="41" t="str">
        <f t="shared" si="293"/>
        <v xml:space="preserve"> </v>
      </c>
      <c r="P1816" s="60">
        <f t="shared" si="294"/>
        <v>0</v>
      </c>
    </row>
    <row r="1817" spans="1:16" ht="15" customHeight="1">
      <c r="A1817" s="28">
        <v>0</v>
      </c>
      <c r="B1817" s="28" t="s">
        <v>1053</v>
      </c>
      <c r="C1817" s="129" t="s">
        <v>1050</v>
      </c>
      <c r="D1817" s="128">
        <v>0</v>
      </c>
      <c r="E1817" s="128" t="s">
        <v>1050</v>
      </c>
      <c r="F1817" s="29" t="s">
        <v>1050</v>
      </c>
      <c r="G1817" s="56" t="str">
        <f t="shared" ca="1" si="295"/>
        <v/>
      </c>
      <c r="H1817" s="28" t="str">
        <f t="shared" ca="1" si="287"/>
        <v/>
      </c>
      <c r="J1817" s="38" t="str">
        <f t="shared" si="288"/>
        <v xml:space="preserve"> </v>
      </c>
      <c r="K1817" s="39">
        <f t="shared" si="289"/>
        <v>0</v>
      </c>
      <c r="L1817" s="39" t="str">
        <f t="shared" si="290"/>
        <v/>
      </c>
      <c r="M1817" s="40" t="str">
        <f t="shared" si="291"/>
        <v xml:space="preserve"> </v>
      </c>
      <c r="N1817" s="41" t="str">
        <f t="shared" ca="1" si="292"/>
        <v/>
      </c>
      <c r="O1817" s="41" t="str">
        <f t="shared" si="293"/>
        <v xml:space="preserve"> </v>
      </c>
      <c r="P1817" s="60">
        <f t="shared" si="294"/>
        <v>0</v>
      </c>
    </row>
    <row r="1818" spans="1:16" ht="15" customHeight="1">
      <c r="A1818" s="28">
        <v>0</v>
      </c>
      <c r="B1818" s="28" t="s">
        <v>1053</v>
      </c>
      <c r="C1818" s="129" t="s">
        <v>1050</v>
      </c>
      <c r="D1818" s="128">
        <v>0</v>
      </c>
      <c r="E1818" s="128" t="s">
        <v>1050</v>
      </c>
      <c r="F1818" s="29" t="s">
        <v>1050</v>
      </c>
      <c r="G1818" s="56" t="str">
        <f t="shared" ca="1" si="295"/>
        <v/>
      </c>
      <c r="H1818" s="28" t="str">
        <f t="shared" ca="1" si="287"/>
        <v/>
      </c>
      <c r="J1818" s="38" t="str">
        <f t="shared" si="288"/>
        <v xml:space="preserve"> </v>
      </c>
      <c r="K1818" s="39">
        <f t="shared" si="289"/>
        <v>0</v>
      </c>
      <c r="L1818" s="39" t="str">
        <f t="shared" si="290"/>
        <v/>
      </c>
      <c r="M1818" s="40" t="str">
        <f t="shared" si="291"/>
        <v xml:space="preserve"> </v>
      </c>
      <c r="N1818" s="41" t="str">
        <f t="shared" ca="1" si="292"/>
        <v/>
      </c>
      <c r="O1818" s="41" t="str">
        <f t="shared" si="293"/>
        <v xml:space="preserve"> </v>
      </c>
      <c r="P1818" s="60">
        <f t="shared" si="294"/>
        <v>0</v>
      </c>
    </row>
    <row r="1819" spans="1:16" ht="15" customHeight="1">
      <c r="A1819" s="28">
        <v>0</v>
      </c>
      <c r="B1819" s="28" t="s">
        <v>1053</v>
      </c>
      <c r="C1819" s="129" t="s">
        <v>1050</v>
      </c>
      <c r="D1819" s="128">
        <v>0</v>
      </c>
      <c r="E1819" s="128" t="s">
        <v>1050</v>
      </c>
      <c r="F1819" s="29" t="s">
        <v>1050</v>
      </c>
      <c r="G1819" s="56" t="str">
        <f t="shared" ca="1" si="295"/>
        <v/>
      </c>
      <c r="H1819" s="28" t="str">
        <f t="shared" ca="1" si="287"/>
        <v/>
      </c>
      <c r="J1819" s="38" t="str">
        <f t="shared" si="288"/>
        <v xml:space="preserve"> </v>
      </c>
      <c r="K1819" s="39">
        <f t="shared" si="289"/>
        <v>0</v>
      </c>
      <c r="L1819" s="39" t="str">
        <f t="shared" si="290"/>
        <v/>
      </c>
      <c r="M1819" s="40" t="str">
        <f t="shared" si="291"/>
        <v xml:space="preserve"> </v>
      </c>
      <c r="N1819" s="41" t="str">
        <f t="shared" ca="1" si="292"/>
        <v/>
      </c>
      <c r="O1819" s="41" t="str">
        <f t="shared" si="293"/>
        <v xml:space="preserve"> </v>
      </c>
      <c r="P1819" s="60">
        <f t="shared" si="294"/>
        <v>0</v>
      </c>
    </row>
    <row r="1820" spans="1:16" ht="15" customHeight="1">
      <c r="A1820" s="28">
        <v>0</v>
      </c>
      <c r="B1820" s="28" t="s">
        <v>1053</v>
      </c>
      <c r="C1820" s="129" t="s">
        <v>1050</v>
      </c>
      <c r="D1820" s="128">
        <v>0</v>
      </c>
      <c r="E1820" s="128" t="s">
        <v>1050</v>
      </c>
      <c r="F1820" s="29" t="s">
        <v>1050</v>
      </c>
      <c r="G1820" s="56" t="str">
        <f t="shared" ca="1" si="295"/>
        <v/>
      </c>
      <c r="H1820" s="28" t="str">
        <f t="shared" ca="1" si="287"/>
        <v/>
      </c>
      <c r="J1820" s="38" t="str">
        <f t="shared" si="288"/>
        <v xml:space="preserve"> </v>
      </c>
      <c r="K1820" s="39">
        <f t="shared" si="289"/>
        <v>0</v>
      </c>
      <c r="L1820" s="39" t="str">
        <f t="shared" si="290"/>
        <v/>
      </c>
      <c r="M1820" s="40" t="str">
        <f t="shared" si="291"/>
        <v xml:space="preserve"> </v>
      </c>
      <c r="N1820" s="41" t="str">
        <f t="shared" ca="1" si="292"/>
        <v/>
      </c>
      <c r="O1820" s="41" t="str">
        <f t="shared" si="293"/>
        <v xml:space="preserve"> </v>
      </c>
      <c r="P1820" s="60">
        <f t="shared" si="294"/>
        <v>0</v>
      </c>
    </row>
    <row r="1821" spans="1:16" ht="15" customHeight="1">
      <c r="A1821" s="28">
        <v>0</v>
      </c>
      <c r="B1821" s="28" t="s">
        <v>1053</v>
      </c>
      <c r="C1821" s="129" t="s">
        <v>1050</v>
      </c>
      <c r="D1821" s="128">
        <v>0</v>
      </c>
      <c r="E1821" s="128" t="s">
        <v>1050</v>
      </c>
      <c r="F1821" s="29" t="s">
        <v>1050</v>
      </c>
      <c r="G1821" s="56" t="str">
        <f t="shared" ca="1" si="295"/>
        <v/>
      </c>
      <c r="H1821" s="28" t="str">
        <f t="shared" ca="1" si="287"/>
        <v/>
      </c>
      <c r="J1821" s="38" t="str">
        <f t="shared" si="288"/>
        <v xml:space="preserve"> </v>
      </c>
      <c r="K1821" s="39">
        <f t="shared" si="289"/>
        <v>0</v>
      </c>
      <c r="L1821" s="39" t="str">
        <f t="shared" si="290"/>
        <v/>
      </c>
      <c r="M1821" s="40" t="str">
        <f t="shared" si="291"/>
        <v xml:space="preserve"> </v>
      </c>
      <c r="N1821" s="41" t="str">
        <f t="shared" ca="1" si="292"/>
        <v/>
      </c>
      <c r="O1821" s="41" t="str">
        <f t="shared" si="293"/>
        <v xml:space="preserve"> </v>
      </c>
      <c r="P1821" s="60">
        <f t="shared" si="294"/>
        <v>0</v>
      </c>
    </row>
    <row r="1822" spans="1:16" ht="15" customHeight="1">
      <c r="A1822" s="28">
        <v>0</v>
      </c>
      <c r="B1822" s="28" t="s">
        <v>1053</v>
      </c>
      <c r="C1822" s="129" t="s">
        <v>1050</v>
      </c>
      <c r="D1822" s="128">
        <v>0</v>
      </c>
      <c r="E1822" s="128" t="s">
        <v>1050</v>
      </c>
      <c r="F1822" s="29" t="s">
        <v>1050</v>
      </c>
      <c r="G1822" s="56" t="str">
        <f t="shared" ca="1" si="295"/>
        <v/>
      </c>
      <c r="H1822" s="28" t="str">
        <f t="shared" ca="1" si="287"/>
        <v/>
      </c>
      <c r="J1822" s="38" t="str">
        <f t="shared" si="288"/>
        <v xml:space="preserve"> </v>
      </c>
      <c r="K1822" s="39">
        <f t="shared" si="289"/>
        <v>0</v>
      </c>
      <c r="L1822" s="39" t="str">
        <f t="shared" si="290"/>
        <v/>
      </c>
      <c r="M1822" s="40" t="str">
        <f t="shared" si="291"/>
        <v xml:space="preserve"> </v>
      </c>
      <c r="N1822" s="41" t="str">
        <f t="shared" ca="1" si="292"/>
        <v/>
      </c>
      <c r="O1822" s="41" t="str">
        <f t="shared" si="293"/>
        <v xml:space="preserve"> </v>
      </c>
      <c r="P1822" s="60">
        <f t="shared" si="294"/>
        <v>0</v>
      </c>
    </row>
    <row r="1823" spans="1:16" ht="15" customHeight="1">
      <c r="A1823" s="28">
        <v>0</v>
      </c>
      <c r="B1823" s="28" t="s">
        <v>1053</v>
      </c>
      <c r="C1823" s="129" t="s">
        <v>1050</v>
      </c>
      <c r="D1823" s="128">
        <v>0</v>
      </c>
      <c r="E1823" s="128" t="s">
        <v>1050</v>
      </c>
      <c r="F1823" s="29" t="s">
        <v>1050</v>
      </c>
      <c r="G1823" s="56" t="str">
        <f t="shared" ca="1" si="295"/>
        <v/>
      </c>
      <c r="H1823" s="28" t="str">
        <f t="shared" ca="1" si="287"/>
        <v/>
      </c>
      <c r="J1823" s="38" t="str">
        <f t="shared" si="288"/>
        <v xml:space="preserve"> </v>
      </c>
      <c r="K1823" s="39">
        <f t="shared" si="289"/>
        <v>0</v>
      </c>
      <c r="L1823" s="39" t="str">
        <f t="shared" si="290"/>
        <v/>
      </c>
      <c r="M1823" s="40" t="str">
        <f t="shared" si="291"/>
        <v xml:space="preserve"> </v>
      </c>
      <c r="N1823" s="41" t="str">
        <f t="shared" ca="1" si="292"/>
        <v/>
      </c>
      <c r="O1823" s="41" t="str">
        <f t="shared" si="293"/>
        <v xml:space="preserve"> </v>
      </c>
      <c r="P1823" s="60">
        <f t="shared" si="294"/>
        <v>0</v>
      </c>
    </row>
    <row r="1824" spans="1:16" ht="15" customHeight="1">
      <c r="A1824" s="28">
        <v>0</v>
      </c>
      <c r="B1824" s="28" t="s">
        <v>1053</v>
      </c>
      <c r="C1824" s="129" t="s">
        <v>1050</v>
      </c>
      <c r="D1824" s="128">
        <v>0</v>
      </c>
      <c r="E1824" s="128" t="s">
        <v>1050</v>
      </c>
      <c r="F1824" s="29" t="s">
        <v>1050</v>
      </c>
      <c r="G1824" s="56" t="str">
        <f t="shared" ca="1" si="295"/>
        <v/>
      </c>
      <c r="H1824" s="28" t="str">
        <f t="shared" ca="1" si="287"/>
        <v/>
      </c>
      <c r="J1824" s="38" t="str">
        <f t="shared" si="288"/>
        <v xml:space="preserve"> </v>
      </c>
      <c r="K1824" s="39">
        <f t="shared" si="289"/>
        <v>0</v>
      </c>
      <c r="L1824" s="39" t="str">
        <f t="shared" si="290"/>
        <v/>
      </c>
      <c r="M1824" s="40" t="str">
        <f t="shared" si="291"/>
        <v xml:space="preserve"> </v>
      </c>
      <c r="N1824" s="41" t="str">
        <f t="shared" ca="1" si="292"/>
        <v/>
      </c>
      <c r="O1824" s="41" t="str">
        <f t="shared" si="293"/>
        <v xml:space="preserve"> </v>
      </c>
      <c r="P1824" s="60">
        <f t="shared" si="294"/>
        <v>0</v>
      </c>
    </row>
    <row r="1825" spans="1:16" ht="15" customHeight="1">
      <c r="A1825" s="28">
        <v>0</v>
      </c>
      <c r="B1825" s="28" t="s">
        <v>1053</v>
      </c>
      <c r="C1825" s="129" t="s">
        <v>1050</v>
      </c>
      <c r="D1825" s="128">
        <v>0</v>
      </c>
      <c r="E1825" s="128" t="s">
        <v>1050</v>
      </c>
      <c r="F1825" s="29" t="s">
        <v>1050</v>
      </c>
      <c r="G1825" s="56" t="str">
        <f t="shared" ca="1" si="295"/>
        <v/>
      </c>
      <c r="H1825" s="28" t="str">
        <f t="shared" ca="1" si="287"/>
        <v/>
      </c>
      <c r="J1825" s="38" t="str">
        <f t="shared" si="288"/>
        <v xml:space="preserve"> </v>
      </c>
      <c r="K1825" s="39">
        <f t="shared" si="289"/>
        <v>0</v>
      </c>
      <c r="L1825" s="39" t="str">
        <f t="shared" si="290"/>
        <v/>
      </c>
      <c r="M1825" s="40" t="str">
        <f t="shared" si="291"/>
        <v xml:space="preserve"> </v>
      </c>
      <c r="N1825" s="41" t="str">
        <f t="shared" ca="1" si="292"/>
        <v/>
      </c>
      <c r="O1825" s="41" t="str">
        <f t="shared" si="293"/>
        <v xml:space="preserve"> </v>
      </c>
      <c r="P1825" s="60">
        <f t="shared" si="294"/>
        <v>0</v>
      </c>
    </row>
    <row r="1826" spans="1:16" ht="15" customHeight="1">
      <c r="A1826" s="28">
        <v>0</v>
      </c>
      <c r="B1826" s="28" t="s">
        <v>1053</v>
      </c>
      <c r="C1826" s="129" t="s">
        <v>1050</v>
      </c>
      <c r="D1826" s="128">
        <v>0</v>
      </c>
      <c r="E1826" s="128" t="s">
        <v>1050</v>
      </c>
      <c r="F1826" s="29" t="s">
        <v>1050</v>
      </c>
      <c r="G1826" s="56" t="str">
        <f t="shared" ca="1" si="295"/>
        <v/>
      </c>
      <c r="H1826" s="28" t="str">
        <f t="shared" ca="1" si="287"/>
        <v/>
      </c>
      <c r="J1826" s="38" t="str">
        <f t="shared" si="288"/>
        <v xml:space="preserve"> </v>
      </c>
      <c r="K1826" s="39">
        <f t="shared" si="289"/>
        <v>0</v>
      </c>
      <c r="L1826" s="39" t="str">
        <f t="shared" si="290"/>
        <v/>
      </c>
      <c r="M1826" s="40" t="str">
        <f t="shared" si="291"/>
        <v xml:space="preserve"> </v>
      </c>
      <c r="N1826" s="41" t="str">
        <f t="shared" ca="1" si="292"/>
        <v/>
      </c>
      <c r="O1826" s="41" t="str">
        <f t="shared" si="293"/>
        <v xml:space="preserve"> </v>
      </c>
      <c r="P1826" s="60">
        <f t="shared" si="294"/>
        <v>0</v>
      </c>
    </row>
    <row r="1827" spans="1:16" ht="15" customHeight="1">
      <c r="A1827" s="28">
        <v>0</v>
      </c>
      <c r="B1827" s="28" t="s">
        <v>1053</v>
      </c>
      <c r="C1827" s="129" t="s">
        <v>1050</v>
      </c>
      <c r="D1827" s="128">
        <v>0</v>
      </c>
      <c r="E1827" s="128" t="s">
        <v>1050</v>
      </c>
      <c r="F1827" s="29" t="s">
        <v>1050</v>
      </c>
      <c r="G1827" s="56" t="str">
        <f t="shared" ca="1" si="295"/>
        <v/>
      </c>
      <c r="H1827" s="28" t="str">
        <f t="shared" ca="1" si="287"/>
        <v/>
      </c>
      <c r="J1827" s="38" t="str">
        <f t="shared" si="288"/>
        <v xml:space="preserve"> </v>
      </c>
      <c r="K1827" s="39">
        <f t="shared" si="289"/>
        <v>0</v>
      </c>
      <c r="L1827" s="39" t="str">
        <f t="shared" si="290"/>
        <v/>
      </c>
      <c r="M1827" s="40" t="str">
        <f t="shared" si="291"/>
        <v xml:space="preserve"> </v>
      </c>
      <c r="N1827" s="41" t="str">
        <f t="shared" ca="1" si="292"/>
        <v/>
      </c>
      <c r="O1827" s="41" t="str">
        <f t="shared" si="293"/>
        <v xml:space="preserve"> </v>
      </c>
      <c r="P1827" s="60">
        <f t="shared" si="294"/>
        <v>0</v>
      </c>
    </row>
    <row r="1828" spans="1:16" ht="15" customHeight="1">
      <c r="A1828" s="28">
        <v>0</v>
      </c>
      <c r="B1828" s="28" t="s">
        <v>1053</v>
      </c>
      <c r="C1828" s="129" t="s">
        <v>1050</v>
      </c>
      <c r="D1828" s="128">
        <v>0</v>
      </c>
      <c r="E1828" s="128" t="s">
        <v>1050</v>
      </c>
      <c r="F1828" s="29" t="s">
        <v>1050</v>
      </c>
      <c r="G1828" s="56" t="str">
        <f t="shared" ca="1" si="295"/>
        <v/>
      </c>
      <c r="H1828" s="28" t="str">
        <f t="shared" ca="1" si="287"/>
        <v/>
      </c>
      <c r="J1828" s="38" t="str">
        <f t="shared" si="288"/>
        <v xml:space="preserve"> </v>
      </c>
      <c r="K1828" s="39">
        <f t="shared" si="289"/>
        <v>0</v>
      </c>
      <c r="L1828" s="39" t="str">
        <f t="shared" si="290"/>
        <v/>
      </c>
      <c r="M1828" s="40" t="str">
        <f t="shared" si="291"/>
        <v xml:space="preserve"> </v>
      </c>
      <c r="N1828" s="41" t="str">
        <f t="shared" ca="1" si="292"/>
        <v/>
      </c>
      <c r="O1828" s="41" t="str">
        <f t="shared" si="293"/>
        <v xml:space="preserve"> </v>
      </c>
      <c r="P1828" s="60">
        <f t="shared" si="294"/>
        <v>0</v>
      </c>
    </row>
    <row r="1829" spans="1:16" ht="15" customHeight="1">
      <c r="A1829" s="28">
        <v>0</v>
      </c>
      <c r="B1829" s="28" t="s">
        <v>1053</v>
      </c>
      <c r="C1829" s="129" t="s">
        <v>1050</v>
      </c>
      <c r="D1829" s="128">
        <v>0</v>
      </c>
      <c r="E1829" s="128" t="s">
        <v>1050</v>
      </c>
      <c r="F1829" s="29" t="s">
        <v>1050</v>
      </c>
      <c r="G1829" s="56" t="str">
        <f t="shared" ca="1" si="295"/>
        <v/>
      </c>
      <c r="H1829" s="28" t="str">
        <f t="shared" ca="1" si="287"/>
        <v/>
      </c>
      <c r="J1829" s="38" t="str">
        <f t="shared" si="288"/>
        <v xml:space="preserve"> </v>
      </c>
      <c r="K1829" s="39">
        <f t="shared" si="289"/>
        <v>0</v>
      </c>
      <c r="L1829" s="39" t="str">
        <f t="shared" si="290"/>
        <v/>
      </c>
      <c r="M1829" s="40" t="str">
        <f t="shared" si="291"/>
        <v xml:space="preserve"> </v>
      </c>
      <c r="N1829" s="41" t="str">
        <f t="shared" ca="1" si="292"/>
        <v/>
      </c>
      <c r="O1829" s="41" t="str">
        <f t="shared" si="293"/>
        <v xml:space="preserve"> </v>
      </c>
      <c r="P1829" s="60">
        <f t="shared" si="294"/>
        <v>0</v>
      </c>
    </row>
    <row r="1830" spans="1:16" ht="15" customHeight="1">
      <c r="A1830" s="28">
        <v>0</v>
      </c>
      <c r="B1830" s="28" t="s">
        <v>1053</v>
      </c>
      <c r="C1830" s="129" t="s">
        <v>1050</v>
      </c>
      <c r="D1830" s="128">
        <v>0</v>
      </c>
      <c r="E1830" s="128" t="s">
        <v>1050</v>
      </c>
      <c r="F1830" s="29" t="s">
        <v>1050</v>
      </c>
      <c r="G1830" s="56" t="str">
        <f t="shared" ca="1" si="295"/>
        <v/>
      </c>
      <c r="H1830" s="28" t="str">
        <f t="shared" ca="1" si="287"/>
        <v/>
      </c>
      <c r="J1830" s="38" t="str">
        <f t="shared" si="288"/>
        <v xml:space="preserve"> </v>
      </c>
      <c r="K1830" s="39">
        <f t="shared" si="289"/>
        <v>0</v>
      </c>
      <c r="L1830" s="39" t="str">
        <f t="shared" si="290"/>
        <v/>
      </c>
      <c r="M1830" s="40" t="str">
        <f t="shared" si="291"/>
        <v xml:space="preserve"> </v>
      </c>
      <c r="N1830" s="41" t="str">
        <f t="shared" ca="1" si="292"/>
        <v/>
      </c>
      <c r="O1830" s="41" t="str">
        <f t="shared" si="293"/>
        <v xml:space="preserve"> </v>
      </c>
      <c r="P1830" s="60">
        <f t="shared" si="294"/>
        <v>0</v>
      </c>
    </row>
    <row r="1831" spans="1:16" ht="15" customHeight="1">
      <c r="A1831" s="28">
        <v>0</v>
      </c>
      <c r="B1831" s="28" t="s">
        <v>1053</v>
      </c>
      <c r="C1831" s="129" t="s">
        <v>1050</v>
      </c>
      <c r="D1831" s="128">
        <v>0</v>
      </c>
      <c r="E1831" s="128" t="s">
        <v>1050</v>
      </c>
      <c r="F1831" s="29" t="s">
        <v>1050</v>
      </c>
      <c r="G1831" s="56" t="str">
        <f t="shared" ca="1" si="295"/>
        <v/>
      </c>
      <c r="H1831" s="28" t="str">
        <f t="shared" ref="H1831:H1894" ca="1" si="296">IFERROR(IF($A1831&gt;0,ROUNDDOWN(INT(TODAY()-F1831)/365.25,0),""),"")</f>
        <v/>
      </c>
      <c r="J1831" s="38" t="str">
        <f t="shared" ref="J1831:J1894" si="297">C1831</f>
        <v xml:space="preserve"> </v>
      </c>
      <c r="K1831" s="39">
        <f t="shared" ref="K1831:K1894" si="298">A1831</f>
        <v>0</v>
      </c>
      <c r="L1831" s="39" t="str">
        <f t="shared" ref="L1831:L1894" si="299">B1831</f>
        <v/>
      </c>
      <c r="M1831" s="40" t="str">
        <f t="shared" ref="M1831:M1894" si="300">F1831</f>
        <v xml:space="preserve"> </v>
      </c>
      <c r="N1831" s="41" t="str">
        <f t="shared" ref="N1831:N1894" ca="1" si="301">G1831</f>
        <v/>
      </c>
      <c r="O1831" s="41" t="str">
        <f t="shared" ref="O1831:O1894" si="302">E1831</f>
        <v xml:space="preserve"> </v>
      </c>
      <c r="P1831" s="60">
        <f t="shared" ref="P1831:P1894" si="303">D1831</f>
        <v>0</v>
      </c>
    </row>
    <row r="1832" spans="1:16" ht="15" customHeight="1">
      <c r="A1832" s="28">
        <v>0</v>
      </c>
      <c r="B1832" s="28" t="s">
        <v>1053</v>
      </c>
      <c r="C1832" s="129" t="s">
        <v>1050</v>
      </c>
      <c r="D1832" s="128">
        <v>0</v>
      </c>
      <c r="E1832" s="128" t="s">
        <v>1050</v>
      </c>
      <c r="F1832" s="29" t="s">
        <v>1050</v>
      </c>
      <c r="G1832" s="56" t="str">
        <f t="shared" ca="1" si="295"/>
        <v/>
      </c>
      <c r="H1832" s="28" t="str">
        <f t="shared" ca="1" si="296"/>
        <v/>
      </c>
      <c r="J1832" s="38" t="str">
        <f t="shared" si="297"/>
        <v xml:space="preserve"> </v>
      </c>
      <c r="K1832" s="39">
        <f t="shared" si="298"/>
        <v>0</v>
      </c>
      <c r="L1832" s="39" t="str">
        <f t="shared" si="299"/>
        <v/>
      </c>
      <c r="M1832" s="40" t="str">
        <f t="shared" si="300"/>
        <v xml:space="preserve"> </v>
      </c>
      <c r="N1832" s="41" t="str">
        <f t="shared" ca="1" si="301"/>
        <v/>
      </c>
      <c r="O1832" s="41" t="str">
        <f t="shared" si="302"/>
        <v xml:space="preserve"> </v>
      </c>
      <c r="P1832" s="60">
        <f t="shared" si="303"/>
        <v>0</v>
      </c>
    </row>
    <row r="1833" spans="1:16" ht="15" customHeight="1">
      <c r="A1833" s="28">
        <v>0</v>
      </c>
      <c r="B1833" s="28" t="s">
        <v>1053</v>
      </c>
      <c r="C1833" s="129" t="s">
        <v>1050</v>
      </c>
      <c r="D1833" s="128">
        <v>0</v>
      </c>
      <c r="E1833" s="128" t="s">
        <v>1050</v>
      </c>
      <c r="F1833" s="29" t="s">
        <v>1050</v>
      </c>
      <c r="G1833" s="56" t="str">
        <f t="shared" ca="1" si="295"/>
        <v/>
      </c>
      <c r="H1833" s="28" t="str">
        <f t="shared" ca="1" si="296"/>
        <v/>
      </c>
      <c r="J1833" s="38" t="str">
        <f t="shared" si="297"/>
        <v xml:space="preserve"> </v>
      </c>
      <c r="K1833" s="39">
        <f t="shared" si="298"/>
        <v>0</v>
      </c>
      <c r="L1833" s="39" t="str">
        <f t="shared" si="299"/>
        <v/>
      </c>
      <c r="M1833" s="40" t="str">
        <f t="shared" si="300"/>
        <v xml:space="preserve"> </v>
      </c>
      <c r="N1833" s="41" t="str">
        <f t="shared" ca="1" si="301"/>
        <v/>
      </c>
      <c r="O1833" s="41" t="str">
        <f t="shared" si="302"/>
        <v xml:space="preserve"> </v>
      </c>
      <c r="P1833" s="60">
        <f t="shared" si="303"/>
        <v>0</v>
      </c>
    </row>
    <row r="1834" spans="1:16" ht="15" customHeight="1">
      <c r="A1834" s="28">
        <v>0</v>
      </c>
      <c r="B1834" s="28" t="s">
        <v>1053</v>
      </c>
      <c r="C1834" s="129" t="s">
        <v>1050</v>
      </c>
      <c r="D1834" s="128">
        <v>0</v>
      </c>
      <c r="E1834" s="128" t="s">
        <v>1050</v>
      </c>
      <c r="F1834" s="29" t="s">
        <v>1050</v>
      </c>
      <c r="G1834" s="56" t="str">
        <f t="shared" ca="1" si="295"/>
        <v/>
      </c>
      <c r="H1834" s="28" t="str">
        <f t="shared" ca="1" si="296"/>
        <v/>
      </c>
      <c r="J1834" s="38" t="str">
        <f t="shared" si="297"/>
        <v xml:space="preserve"> </v>
      </c>
      <c r="K1834" s="39">
        <f t="shared" si="298"/>
        <v>0</v>
      </c>
      <c r="L1834" s="39" t="str">
        <f t="shared" si="299"/>
        <v/>
      </c>
      <c r="M1834" s="40" t="str">
        <f t="shared" si="300"/>
        <v xml:space="preserve"> </v>
      </c>
      <c r="N1834" s="41" t="str">
        <f t="shared" ca="1" si="301"/>
        <v/>
      </c>
      <c r="O1834" s="41" t="str">
        <f t="shared" si="302"/>
        <v xml:space="preserve"> </v>
      </c>
      <c r="P1834" s="60">
        <f t="shared" si="303"/>
        <v>0</v>
      </c>
    </row>
    <row r="1835" spans="1:16" ht="15" customHeight="1">
      <c r="A1835" s="28">
        <v>0</v>
      </c>
      <c r="B1835" s="28" t="s">
        <v>1053</v>
      </c>
      <c r="C1835" s="129" t="s">
        <v>1050</v>
      </c>
      <c r="D1835" s="128">
        <v>0</v>
      </c>
      <c r="E1835" s="128" t="s">
        <v>1050</v>
      </c>
      <c r="F1835" s="29" t="s">
        <v>1050</v>
      </c>
      <c r="G1835" s="56" t="str">
        <f t="shared" ca="1" si="295"/>
        <v/>
      </c>
      <c r="H1835" s="28" t="str">
        <f t="shared" ca="1" si="296"/>
        <v/>
      </c>
      <c r="J1835" s="38" t="str">
        <f t="shared" si="297"/>
        <v xml:space="preserve"> </v>
      </c>
      <c r="K1835" s="39">
        <f t="shared" si="298"/>
        <v>0</v>
      </c>
      <c r="L1835" s="39" t="str">
        <f t="shared" si="299"/>
        <v/>
      </c>
      <c r="M1835" s="40" t="str">
        <f t="shared" si="300"/>
        <v xml:space="preserve"> </v>
      </c>
      <c r="N1835" s="41" t="str">
        <f t="shared" ca="1" si="301"/>
        <v/>
      </c>
      <c r="O1835" s="41" t="str">
        <f t="shared" si="302"/>
        <v xml:space="preserve"> </v>
      </c>
      <c r="P1835" s="60">
        <f t="shared" si="303"/>
        <v>0</v>
      </c>
    </row>
    <row r="1836" spans="1:16" ht="15" customHeight="1">
      <c r="A1836" s="28">
        <v>0</v>
      </c>
      <c r="B1836" s="28" t="s">
        <v>1053</v>
      </c>
      <c r="C1836" s="129" t="s">
        <v>1050</v>
      </c>
      <c r="D1836" s="128">
        <v>0</v>
      </c>
      <c r="E1836" s="128" t="s">
        <v>1050</v>
      </c>
      <c r="F1836" s="29" t="s">
        <v>1050</v>
      </c>
      <c r="G1836" s="56" t="str">
        <f t="shared" ca="1" si="295"/>
        <v/>
      </c>
      <c r="H1836" s="28" t="str">
        <f t="shared" ca="1" si="296"/>
        <v/>
      </c>
      <c r="J1836" s="38" t="str">
        <f t="shared" si="297"/>
        <v xml:space="preserve"> </v>
      </c>
      <c r="K1836" s="39">
        <f t="shared" si="298"/>
        <v>0</v>
      </c>
      <c r="L1836" s="39" t="str">
        <f t="shared" si="299"/>
        <v/>
      </c>
      <c r="M1836" s="40" t="str">
        <f t="shared" si="300"/>
        <v xml:space="preserve"> </v>
      </c>
      <c r="N1836" s="41" t="str">
        <f t="shared" ca="1" si="301"/>
        <v/>
      </c>
      <c r="O1836" s="41" t="str">
        <f t="shared" si="302"/>
        <v xml:space="preserve"> </v>
      </c>
      <c r="P1836" s="60">
        <f t="shared" si="303"/>
        <v>0</v>
      </c>
    </row>
    <row r="1837" spans="1:16" ht="15" customHeight="1">
      <c r="A1837" s="28">
        <v>0</v>
      </c>
      <c r="B1837" s="28" t="s">
        <v>1053</v>
      </c>
      <c r="C1837" s="129" t="s">
        <v>1050</v>
      </c>
      <c r="D1837" s="128">
        <v>0</v>
      </c>
      <c r="E1837" s="128" t="s">
        <v>1050</v>
      </c>
      <c r="F1837" s="29" t="s">
        <v>1050</v>
      </c>
      <c r="G1837" s="56" t="str">
        <f t="shared" ca="1" si="295"/>
        <v/>
      </c>
      <c r="H1837" s="28" t="str">
        <f t="shared" ca="1" si="296"/>
        <v/>
      </c>
      <c r="J1837" s="38" t="str">
        <f t="shared" si="297"/>
        <v xml:space="preserve"> </v>
      </c>
      <c r="K1837" s="39">
        <f t="shared" si="298"/>
        <v>0</v>
      </c>
      <c r="L1837" s="39" t="str">
        <f t="shared" si="299"/>
        <v/>
      </c>
      <c r="M1837" s="40" t="str">
        <f t="shared" si="300"/>
        <v xml:space="preserve"> </v>
      </c>
      <c r="N1837" s="41" t="str">
        <f t="shared" ca="1" si="301"/>
        <v/>
      </c>
      <c r="O1837" s="41" t="str">
        <f t="shared" si="302"/>
        <v xml:space="preserve"> </v>
      </c>
      <c r="P1837" s="60">
        <f t="shared" si="303"/>
        <v>0</v>
      </c>
    </row>
    <row r="1838" spans="1:16" ht="15" customHeight="1">
      <c r="A1838" s="28">
        <v>0</v>
      </c>
      <c r="B1838" s="28" t="s">
        <v>1053</v>
      </c>
      <c r="C1838" s="129" t="s">
        <v>1050</v>
      </c>
      <c r="D1838" s="128">
        <v>0</v>
      </c>
      <c r="E1838" s="128" t="s">
        <v>1050</v>
      </c>
      <c r="F1838" s="29" t="s">
        <v>1050</v>
      </c>
      <c r="G1838" s="56" t="str">
        <f t="shared" ca="1" si="295"/>
        <v/>
      </c>
      <c r="H1838" s="28" t="str">
        <f t="shared" ca="1" si="296"/>
        <v/>
      </c>
      <c r="J1838" s="38" t="str">
        <f t="shared" si="297"/>
        <v xml:space="preserve"> </v>
      </c>
      <c r="K1838" s="39">
        <f t="shared" si="298"/>
        <v>0</v>
      </c>
      <c r="L1838" s="39" t="str">
        <f t="shared" si="299"/>
        <v/>
      </c>
      <c r="M1838" s="40" t="str">
        <f t="shared" si="300"/>
        <v xml:space="preserve"> </v>
      </c>
      <c r="N1838" s="41" t="str">
        <f t="shared" ca="1" si="301"/>
        <v/>
      </c>
      <c r="O1838" s="41" t="str">
        <f t="shared" si="302"/>
        <v xml:space="preserve"> </v>
      </c>
      <c r="P1838" s="60">
        <f t="shared" si="303"/>
        <v>0</v>
      </c>
    </row>
    <row r="1839" spans="1:16" ht="15" customHeight="1">
      <c r="A1839" s="28">
        <v>0</v>
      </c>
      <c r="B1839" s="28" t="s">
        <v>1053</v>
      </c>
      <c r="C1839" s="129" t="s">
        <v>1050</v>
      </c>
      <c r="D1839" s="128">
        <v>0</v>
      </c>
      <c r="E1839" s="128" t="s">
        <v>1050</v>
      </c>
      <c r="F1839" s="29" t="s">
        <v>1050</v>
      </c>
      <c r="G1839" s="56" t="str">
        <f t="shared" ca="1" si="295"/>
        <v/>
      </c>
      <c r="H1839" s="28" t="str">
        <f t="shared" ca="1" si="296"/>
        <v/>
      </c>
      <c r="J1839" s="38" t="str">
        <f t="shared" si="297"/>
        <v xml:space="preserve"> </v>
      </c>
      <c r="K1839" s="39">
        <f t="shared" si="298"/>
        <v>0</v>
      </c>
      <c r="L1839" s="39" t="str">
        <f t="shared" si="299"/>
        <v/>
      </c>
      <c r="M1839" s="40" t="str">
        <f t="shared" si="300"/>
        <v xml:space="preserve"> </v>
      </c>
      <c r="N1839" s="41" t="str">
        <f t="shared" ca="1" si="301"/>
        <v/>
      </c>
      <c r="O1839" s="41" t="str">
        <f t="shared" si="302"/>
        <v xml:space="preserve"> </v>
      </c>
      <c r="P1839" s="60">
        <f t="shared" si="303"/>
        <v>0</v>
      </c>
    </row>
    <row r="1840" spans="1:16" ht="15" customHeight="1">
      <c r="A1840" s="28">
        <v>0</v>
      </c>
      <c r="B1840" s="28" t="s">
        <v>1053</v>
      </c>
      <c r="C1840" s="129" t="s">
        <v>1050</v>
      </c>
      <c r="D1840" s="128">
        <v>0</v>
      </c>
      <c r="E1840" s="128" t="s">
        <v>1050</v>
      </c>
      <c r="F1840" s="29" t="s">
        <v>1050</v>
      </c>
      <c r="G1840" s="56" t="str">
        <f t="shared" ca="1" si="295"/>
        <v/>
      </c>
      <c r="H1840" s="28" t="str">
        <f t="shared" ca="1" si="296"/>
        <v/>
      </c>
      <c r="J1840" s="38" t="str">
        <f t="shared" si="297"/>
        <v xml:space="preserve"> </v>
      </c>
      <c r="K1840" s="39">
        <f t="shared" si="298"/>
        <v>0</v>
      </c>
      <c r="L1840" s="39" t="str">
        <f t="shared" si="299"/>
        <v/>
      </c>
      <c r="M1840" s="40" t="str">
        <f t="shared" si="300"/>
        <v xml:space="preserve"> </v>
      </c>
      <c r="N1840" s="41" t="str">
        <f t="shared" ca="1" si="301"/>
        <v/>
      </c>
      <c r="O1840" s="41" t="str">
        <f t="shared" si="302"/>
        <v xml:space="preserve"> </v>
      </c>
      <c r="P1840" s="60">
        <f t="shared" si="303"/>
        <v>0</v>
      </c>
    </row>
    <row r="1841" spans="1:16" ht="15" customHeight="1">
      <c r="A1841" s="28">
        <v>0</v>
      </c>
      <c r="B1841" s="28" t="s">
        <v>1053</v>
      </c>
      <c r="C1841" s="129" t="s">
        <v>1050</v>
      </c>
      <c r="D1841" s="128">
        <v>0</v>
      </c>
      <c r="E1841" s="128" t="s">
        <v>1050</v>
      </c>
      <c r="F1841" s="29" t="s">
        <v>1050</v>
      </c>
      <c r="G1841" s="56" t="str">
        <f t="shared" ca="1" si="295"/>
        <v/>
      </c>
      <c r="H1841" s="28" t="str">
        <f t="shared" ca="1" si="296"/>
        <v/>
      </c>
      <c r="J1841" s="38" t="str">
        <f t="shared" si="297"/>
        <v xml:space="preserve"> </v>
      </c>
      <c r="K1841" s="39">
        <f t="shared" si="298"/>
        <v>0</v>
      </c>
      <c r="L1841" s="39" t="str">
        <f t="shared" si="299"/>
        <v/>
      </c>
      <c r="M1841" s="40" t="str">
        <f t="shared" si="300"/>
        <v xml:space="preserve"> </v>
      </c>
      <c r="N1841" s="41" t="str">
        <f t="shared" ca="1" si="301"/>
        <v/>
      </c>
      <c r="O1841" s="41" t="str">
        <f t="shared" si="302"/>
        <v xml:space="preserve"> </v>
      </c>
      <c r="P1841" s="60">
        <f t="shared" si="303"/>
        <v>0</v>
      </c>
    </row>
    <row r="1842" spans="1:16" ht="15" customHeight="1">
      <c r="A1842" s="28">
        <v>0</v>
      </c>
      <c r="B1842" s="28" t="s">
        <v>1053</v>
      </c>
      <c r="C1842" s="129" t="s">
        <v>1050</v>
      </c>
      <c r="D1842" s="128">
        <v>0</v>
      </c>
      <c r="E1842" s="128" t="s">
        <v>1050</v>
      </c>
      <c r="F1842" s="29" t="s">
        <v>1050</v>
      </c>
      <c r="G1842" s="56" t="str">
        <f t="shared" ca="1" si="295"/>
        <v/>
      </c>
      <c r="H1842" s="28" t="str">
        <f t="shared" ca="1" si="296"/>
        <v/>
      </c>
      <c r="J1842" s="38" t="str">
        <f t="shared" si="297"/>
        <v xml:space="preserve"> </v>
      </c>
      <c r="K1842" s="39">
        <f t="shared" si="298"/>
        <v>0</v>
      </c>
      <c r="L1842" s="39" t="str">
        <f t="shared" si="299"/>
        <v/>
      </c>
      <c r="M1842" s="40" t="str">
        <f t="shared" si="300"/>
        <v xml:space="preserve"> </v>
      </c>
      <c r="N1842" s="41" t="str">
        <f t="shared" ca="1" si="301"/>
        <v/>
      </c>
      <c r="O1842" s="41" t="str">
        <f t="shared" si="302"/>
        <v xml:space="preserve"> </v>
      </c>
      <c r="P1842" s="60">
        <f t="shared" si="303"/>
        <v>0</v>
      </c>
    </row>
    <row r="1843" spans="1:16" ht="15" customHeight="1">
      <c r="A1843" s="28">
        <v>0</v>
      </c>
      <c r="B1843" s="28" t="s">
        <v>1053</v>
      </c>
      <c r="C1843" s="129" t="s">
        <v>1050</v>
      </c>
      <c r="D1843" s="128">
        <v>0</v>
      </c>
      <c r="E1843" s="128" t="s">
        <v>1050</v>
      </c>
      <c r="F1843" s="29" t="s">
        <v>1050</v>
      </c>
      <c r="G1843" s="56" t="str">
        <f t="shared" ca="1" si="295"/>
        <v/>
      </c>
      <c r="H1843" s="28" t="str">
        <f t="shared" ca="1" si="296"/>
        <v/>
      </c>
      <c r="J1843" s="38" t="str">
        <f t="shared" si="297"/>
        <v xml:space="preserve"> </v>
      </c>
      <c r="K1843" s="39">
        <f t="shared" si="298"/>
        <v>0</v>
      </c>
      <c r="L1843" s="39" t="str">
        <f t="shared" si="299"/>
        <v/>
      </c>
      <c r="M1843" s="40" t="str">
        <f t="shared" si="300"/>
        <v xml:space="preserve"> </v>
      </c>
      <c r="N1843" s="41" t="str">
        <f t="shared" ca="1" si="301"/>
        <v/>
      </c>
      <c r="O1843" s="41" t="str">
        <f t="shared" si="302"/>
        <v xml:space="preserve"> </v>
      </c>
      <c r="P1843" s="60">
        <f t="shared" si="303"/>
        <v>0</v>
      </c>
    </row>
    <row r="1844" spans="1:16" ht="15" customHeight="1">
      <c r="A1844" s="28">
        <v>0</v>
      </c>
      <c r="B1844" s="28" t="s">
        <v>1053</v>
      </c>
      <c r="C1844" s="129" t="s">
        <v>1050</v>
      </c>
      <c r="D1844" s="128">
        <v>0</v>
      </c>
      <c r="E1844" s="128" t="s">
        <v>1050</v>
      </c>
      <c r="F1844" s="29" t="s">
        <v>1050</v>
      </c>
      <c r="G1844" s="56" t="str">
        <f t="shared" ca="1" si="295"/>
        <v/>
      </c>
      <c r="H1844" s="28" t="str">
        <f t="shared" ca="1" si="296"/>
        <v/>
      </c>
      <c r="J1844" s="38" t="str">
        <f t="shared" si="297"/>
        <v xml:space="preserve"> </v>
      </c>
      <c r="K1844" s="39">
        <f t="shared" si="298"/>
        <v>0</v>
      </c>
      <c r="L1844" s="39" t="str">
        <f t="shared" si="299"/>
        <v/>
      </c>
      <c r="M1844" s="40" t="str">
        <f t="shared" si="300"/>
        <v xml:space="preserve"> </v>
      </c>
      <c r="N1844" s="41" t="str">
        <f t="shared" ca="1" si="301"/>
        <v/>
      </c>
      <c r="O1844" s="41" t="str">
        <f t="shared" si="302"/>
        <v xml:space="preserve"> </v>
      </c>
      <c r="P1844" s="60">
        <f t="shared" si="303"/>
        <v>0</v>
      </c>
    </row>
    <row r="1845" spans="1:16" ht="15" customHeight="1">
      <c r="A1845" s="28">
        <v>0</v>
      </c>
      <c r="B1845" s="28" t="s">
        <v>1053</v>
      </c>
      <c r="C1845" s="129" t="s">
        <v>1050</v>
      </c>
      <c r="D1845" s="128">
        <v>0</v>
      </c>
      <c r="E1845" s="128" t="s">
        <v>1050</v>
      </c>
      <c r="F1845" s="29" t="s">
        <v>1050</v>
      </c>
      <c r="G1845" s="56" t="str">
        <f t="shared" ca="1" si="295"/>
        <v/>
      </c>
      <c r="H1845" s="28" t="str">
        <f t="shared" ca="1" si="296"/>
        <v/>
      </c>
      <c r="J1845" s="38" t="str">
        <f t="shared" si="297"/>
        <v xml:space="preserve"> </v>
      </c>
      <c r="K1845" s="39">
        <f t="shared" si="298"/>
        <v>0</v>
      </c>
      <c r="L1845" s="39" t="str">
        <f t="shared" si="299"/>
        <v/>
      </c>
      <c r="M1845" s="40" t="str">
        <f t="shared" si="300"/>
        <v xml:space="preserve"> </v>
      </c>
      <c r="N1845" s="41" t="str">
        <f t="shared" ca="1" si="301"/>
        <v/>
      </c>
      <c r="O1845" s="41" t="str">
        <f t="shared" si="302"/>
        <v xml:space="preserve"> </v>
      </c>
      <c r="P1845" s="60">
        <f t="shared" si="303"/>
        <v>0</v>
      </c>
    </row>
    <row r="1846" spans="1:16" ht="15" customHeight="1">
      <c r="A1846" s="28">
        <v>0</v>
      </c>
      <c r="B1846" s="28" t="s">
        <v>1053</v>
      </c>
      <c r="C1846" s="129" t="s">
        <v>1050</v>
      </c>
      <c r="D1846" s="128">
        <v>0</v>
      </c>
      <c r="E1846" s="128" t="s">
        <v>1050</v>
      </c>
      <c r="F1846" s="29" t="s">
        <v>1050</v>
      </c>
      <c r="G1846" s="56" t="str">
        <f t="shared" ca="1" si="295"/>
        <v/>
      </c>
      <c r="H1846" s="28" t="str">
        <f t="shared" ca="1" si="296"/>
        <v/>
      </c>
      <c r="J1846" s="38" t="str">
        <f t="shared" si="297"/>
        <v xml:space="preserve"> </v>
      </c>
      <c r="K1846" s="39">
        <f t="shared" si="298"/>
        <v>0</v>
      </c>
      <c r="L1846" s="39" t="str">
        <f t="shared" si="299"/>
        <v/>
      </c>
      <c r="M1846" s="40" t="str">
        <f t="shared" si="300"/>
        <v xml:space="preserve"> </v>
      </c>
      <c r="N1846" s="41" t="str">
        <f t="shared" ca="1" si="301"/>
        <v/>
      </c>
      <c r="O1846" s="41" t="str">
        <f t="shared" si="302"/>
        <v xml:space="preserve"> </v>
      </c>
      <c r="P1846" s="60">
        <f t="shared" si="303"/>
        <v>0</v>
      </c>
    </row>
    <row r="1847" spans="1:16" ht="15" customHeight="1">
      <c r="A1847" s="28">
        <v>0</v>
      </c>
      <c r="B1847" s="28" t="s">
        <v>1053</v>
      </c>
      <c r="C1847" s="129" t="s">
        <v>1050</v>
      </c>
      <c r="D1847" s="128">
        <v>0</v>
      </c>
      <c r="E1847" s="128" t="s">
        <v>1050</v>
      </c>
      <c r="F1847" s="29" t="s">
        <v>1050</v>
      </c>
      <c r="G1847" s="56" t="str">
        <f t="shared" ca="1" si="295"/>
        <v/>
      </c>
      <c r="H1847" s="28" t="str">
        <f t="shared" ca="1" si="296"/>
        <v/>
      </c>
      <c r="J1847" s="38" t="str">
        <f t="shared" si="297"/>
        <v xml:space="preserve"> </v>
      </c>
      <c r="K1847" s="39">
        <f t="shared" si="298"/>
        <v>0</v>
      </c>
      <c r="L1847" s="39" t="str">
        <f t="shared" si="299"/>
        <v/>
      </c>
      <c r="M1847" s="40" t="str">
        <f t="shared" si="300"/>
        <v xml:space="preserve"> </v>
      </c>
      <c r="N1847" s="41" t="str">
        <f t="shared" ca="1" si="301"/>
        <v/>
      </c>
      <c r="O1847" s="41" t="str">
        <f t="shared" si="302"/>
        <v xml:space="preserve"> </v>
      </c>
      <c r="P1847" s="60">
        <f t="shared" si="303"/>
        <v>0</v>
      </c>
    </row>
    <row r="1848" spans="1:16" ht="15" customHeight="1">
      <c r="A1848" s="28">
        <v>0</v>
      </c>
      <c r="B1848" s="28" t="s">
        <v>1053</v>
      </c>
      <c r="C1848" s="129" t="s">
        <v>1050</v>
      </c>
      <c r="D1848" s="128">
        <v>0</v>
      </c>
      <c r="E1848" s="128" t="s">
        <v>1050</v>
      </c>
      <c r="F1848" s="29" t="s">
        <v>1050</v>
      </c>
      <c r="G1848" s="56" t="str">
        <f t="shared" ca="1" si="295"/>
        <v/>
      </c>
      <c r="H1848" s="28" t="str">
        <f t="shared" ca="1" si="296"/>
        <v/>
      </c>
      <c r="J1848" s="38" t="str">
        <f t="shared" si="297"/>
        <v xml:space="preserve"> </v>
      </c>
      <c r="K1848" s="39">
        <f t="shared" si="298"/>
        <v>0</v>
      </c>
      <c r="L1848" s="39" t="str">
        <f t="shared" si="299"/>
        <v/>
      </c>
      <c r="M1848" s="40" t="str">
        <f t="shared" si="300"/>
        <v xml:space="preserve"> </v>
      </c>
      <c r="N1848" s="41" t="str">
        <f t="shared" ca="1" si="301"/>
        <v/>
      </c>
      <c r="O1848" s="41" t="str">
        <f t="shared" si="302"/>
        <v xml:space="preserve"> </v>
      </c>
      <c r="P1848" s="60">
        <f t="shared" si="303"/>
        <v>0</v>
      </c>
    </row>
    <row r="1849" spans="1:16" ht="15" customHeight="1">
      <c r="A1849" s="28">
        <v>0</v>
      </c>
      <c r="B1849" s="28" t="s">
        <v>1053</v>
      </c>
      <c r="C1849" s="129" t="s">
        <v>1050</v>
      </c>
      <c r="D1849" s="128">
        <v>0</v>
      </c>
      <c r="E1849" s="128" t="s">
        <v>1050</v>
      </c>
      <c r="F1849" s="29" t="s">
        <v>1050</v>
      </c>
      <c r="G1849" s="56" t="str">
        <f t="shared" ca="1" si="295"/>
        <v/>
      </c>
      <c r="H1849" s="28" t="str">
        <f t="shared" ca="1" si="296"/>
        <v/>
      </c>
      <c r="J1849" s="38" t="str">
        <f t="shared" si="297"/>
        <v xml:space="preserve"> </v>
      </c>
      <c r="K1849" s="39">
        <f t="shared" si="298"/>
        <v>0</v>
      </c>
      <c r="L1849" s="39" t="str">
        <f t="shared" si="299"/>
        <v/>
      </c>
      <c r="M1849" s="40" t="str">
        <f t="shared" si="300"/>
        <v xml:space="preserve"> </v>
      </c>
      <c r="N1849" s="41" t="str">
        <f t="shared" ca="1" si="301"/>
        <v/>
      </c>
      <c r="O1849" s="41" t="str">
        <f t="shared" si="302"/>
        <v xml:space="preserve"> </v>
      </c>
      <c r="P1849" s="60">
        <f t="shared" si="303"/>
        <v>0</v>
      </c>
    </row>
    <row r="1850" spans="1:16" ht="15" customHeight="1">
      <c r="A1850" s="28">
        <v>0</v>
      </c>
      <c r="B1850" s="28" t="s">
        <v>1053</v>
      </c>
      <c r="C1850" s="129" t="s">
        <v>1050</v>
      </c>
      <c r="D1850" s="128">
        <v>0</v>
      </c>
      <c r="E1850" s="128" t="s">
        <v>1050</v>
      </c>
      <c r="F1850" s="29" t="s">
        <v>1050</v>
      </c>
      <c r="G1850" s="56" t="str">
        <f t="shared" ca="1" si="295"/>
        <v/>
      </c>
      <c r="H1850" s="28" t="str">
        <f t="shared" ca="1" si="296"/>
        <v/>
      </c>
      <c r="J1850" s="38" t="str">
        <f t="shared" si="297"/>
        <v xml:space="preserve"> </v>
      </c>
      <c r="K1850" s="39">
        <f t="shared" si="298"/>
        <v>0</v>
      </c>
      <c r="L1850" s="39" t="str">
        <f t="shared" si="299"/>
        <v/>
      </c>
      <c r="M1850" s="40" t="str">
        <f t="shared" si="300"/>
        <v xml:space="preserve"> </v>
      </c>
      <c r="N1850" s="41" t="str">
        <f t="shared" ca="1" si="301"/>
        <v/>
      </c>
      <c r="O1850" s="41" t="str">
        <f t="shared" si="302"/>
        <v xml:space="preserve"> </v>
      </c>
      <c r="P1850" s="60">
        <f t="shared" si="303"/>
        <v>0</v>
      </c>
    </row>
    <row r="1851" spans="1:16" ht="15" customHeight="1">
      <c r="A1851" s="28">
        <v>0</v>
      </c>
      <c r="B1851" s="28" t="s">
        <v>1053</v>
      </c>
      <c r="C1851" s="129" t="s">
        <v>1050</v>
      </c>
      <c r="D1851" s="128">
        <v>0</v>
      </c>
      <c r="E1851" s="128" t="s">
        <v>1050</v>
      </c>
      <c r="F1851" s="29" t="s">
        <v>1050</v>
      </c>
      <c r="G1851" s="56" t="str">
        <f t="shared" ca="1" si="295"/>
        <v/>
      </c>
      <c r="H1851" s="28" t="str">
        <f t="shared" ca="1" si="296"/>
        <v/>
      </c>
      <c r="J1851" s="38" t="str">
        <f t="shared" si="297"/>
        <v xml:space="preserve"> </v>
      </c>
      <c r="K1851" s="39">
        <f t="shared" si="298"/>
        <v>0</v>
      </c>
      <c r="L1851" s="39" t="str">
        <f t="shared" si="299"/>
        <v/>
      </c>
      <c r="M1851" s="40" t="str">
        <f t="shared" si="300"/>
        <v xml:space="preserve"> </v>
      </c>
      <c r="N1851" s="41" t="str">
        <f t="shared" ca="1" si="301"/>
        <v/>
      </c>
      <c r="O1851" s="41" t="str">
        <f t="shared" si="302"/>
        <v xml:space="preserve"> </v>
      </c>
      <c r="P1851" s="60">
        <f t="shared" si="303"/>
        <v>0</v>
      </c>
    </row>
    <row r="1852" spans="1:16" ht="15" customHeight="1">
      <c r="A1852" s="28">
        <v>0</v>
      </c>
      <c r="B1852" s="28" t="s">
        <v>1053</v>
      </c>
      <c r="C1852" s="129" t="s">
        <v>1050</v>
      </c>
      <c r="D1852" s="128">
        <v>0</v>
      </c>
      <c r="E1852" s="128" t="s">
        <v>1050</v>
      </c>
      <c r="F1852" s="29" t="s">
        <v>1050</v>
      </c>
      <c r="G1852" s="56" t="str">
        <f t="shared" ca="1" si="295"/>
        <v/>
      </c>
      <c r="H1852" s="28" t="str">
        <f t="shared" ca="1" si="296"/>
        <v/>
      </c>
      <c r="J1852" s="38" t="str">
        <f t="shared" si="297"/>
        <v xml:space="preserve"> </v>
      </c>
      <c r="K1852" s="39">
        <f t="shared" si="298"/>
        <v>0</v>
      </c>
      <c r="L1852" s="39" t="str">
        <f t="shared" si="299"/>
        <v/>
      </c>
      <c r="M1852" s="40" t="str">
        <f t="shared" si="300"/>
        <v xml:space="preserve"> </v>
      </c>
      <c r="N1852" s="41" t="str">
        <f t="shared" ca="1" si="301"/>
        <v/>
      </c>
      <c r="O1852" s="41" t="str">
        <f t="shared" si="302"/>
        <v xml:space="preserve"> </v>
      </c>
      <c r="P1852" s="60">
        <f t="shared" si="303"/>
        <v>0</v>
      </c>
    </row>
    <row r="1853" spans="1:16" ht="15" customHeight="1">
      <c r="A1853" s="28">
        <v>0</v>
      </c>
      <c r="B1853" s="28" t="s">
        <v>1053</v>
      </c>
      <c r="C1853" s="129" t="s">
        <v>1050</v>
      </c>
      <c r="D1853" s="128">
        <v>0</v>
      </c>
      <c r="E1853" s="128" t="s">
        <v>1050</v>
      </c>
      <c r="F1853" s="29" t="s">
        <v>1050</v>
      </c>
      <c r="G1853" s="56" t="str">
        <f t="shared" ca="1" si="295"/>
        <v/>
      </c>
      <c r="H1853" s="28" t="str">
        <f t="shared" ca="1" si="296"/>
        <v/>
      </c>
      <c r="J1853" s="38" t="str">
        <f t="shared" si="297"/>
        <v xml:space="preserve"> </v>
      </c>
      <c r="K1853" s="39">
        <f t="shared" si="298"/>
        <v>0</v>
      </c>
      <c r="L1853" s="39" t="str">
        <f t="shared" si="299"/>
        <v/>
      </c>
      <c r="M1853" s="40" t="str">
        <f t="shared" si="300"/>
        <v xml:space="preserve"> </v>
      </c>
      <c r="N1853" s="41" t="str">
        <f t="shared" ca="1" si="301"/>
        <v/>
      </c>
      <c r="O1853" s="41" t="str">
        <f t="shared" si="302"/>
        <v xml:space="preserve"> </v>
      </c>
      <c r="P1853" s="60">
        <f t="shared" si="303"/>
        <v>0</v>
      </c>
    </row>
    <row r="1854" spans="1:16" ht="15" customHeight="1">
      <c r="A1854" s="28">
        <v>0</v>
      </c>
      <c r="B1854" s="28" t="s">
        <v>1053</v>
      </c>
      <c r="C1854" s="129" t="s">
        <v>1050</v>
      </c>
      <c r="D1854" s="128">
        <v>0</v>
      </c>
      <c r="E1854" s="128" t="s">
        <v>1050</v>
      </c>
      <c r="F1854" s="29" t="s">
        <v>1050</v>
      </c>
      <c r="G1854" s="56" t="str">
        <f t="shared" ca="1" si="295"/>
        <v/>
      </c>
      <c r="H1854" s="28" t="str">
        <f t="shared" ca="1" si="296"/>
        <v/>
      </c>
      <c r="J1854" s="38" t="str">
        <f t="shared" si="297"/>
        <v xml:space="preserve"> </v>
      </c>
      <c r="K1854" s="39">
        <f t="shared" si="298"/>
        <v>0</v>
      </c>
      <c r="L1854" s="39" t="str">
        <f t="shared" si="299"/>
        <v/>
      </c>
      <c r="M1854" s="40" t="str">
        <f t="shared" si="300"/>
        <v xml:space="preserve"> </v>
      </c>
      <c r="N1854" s="41" t="str">
        <f t="shared" ca="1" si="301"/>
        <v/>
      </c>
      <c r="O1854" s="41" t="str">
        <f t="shared" si="302"/>
        <v xml:space="preserve"> </v>
      </c>
      <c r="P1854" s="60">
        <f t="shared" si="303"/>
        <v>0</v>
      </c>
    </row>
    <row r="1855" spans="1:16" ht="15" customHeight="1">
      <c r="A1855" s="28">
        <v>0</v>
      </c>
      <c r="B1855" s="28" t="s">
        <v>1053</v>
      </c>
      <c r="C1855" s="129" t="s">
        <v>1050</v>
      </c>
      <c r="D1855" s="128">
        <v>0</v>
      </c>
      <c r="E1855" s="128" t="s">
        <v>1050</v>
      </c>
      <c r="F1855" s="29" t="s">
        <v>1050</v>
      </c>
      <c r="G1855" s="56" t="str">
        <f t="shared" ca="1" si="295"/>
        <v/>
      </c>
      <c r="H1855" s="28" t="str">
        <f t="shared" ca="1" si="296"/>
        <v/>
      </c>
      <c r="J1855" s="38" t="str">
        <f t="shared" si="297"/>
        <v xml:space="preserve"> </v>
      </c>
      <c r="K1855" s="39">
        <f t="shared" si="298"/>
        <v>0</v>
      </c>
      <c r="L1855" s="39" t="str">
        <f t="shared" si="299"/>
        <v/>
      </c>
      <c r="M1855" s="40" t="str">
        <f t="shared" si="300"/>
        <v xml:space="preserve"> </v>
      </c>
      <c r="N1855" s="41" t="str">
        <f t="shared" ca="1" si="301"/>
        <v/>
      </c>
      <c r="O1855" s="41" t="str">
        <f t="shared" si="302"/>
        <v xml:space="preserve"> </v>
      </c>
      <c r="P1855" s="60">
        <f t="shared" si="303"/>
        <v>0</v>
      </c>
    </row>
    <row r="1856" spans="1:16" ht="15" customHeight="1">
      <c r="A1856" s="28">
        <v>0</v>
      </c>
      <c r="B1856" s="28" t="s">
        <v>1053</v>
      </c>
      <c r="C1856" s="129" t="s">
        <v>1050</v>
      </c>
      <c r="D1856" s="128">
        <v>0</v>
      </c>
      <c r="E1856" s="128" t="s">
        <v>1050</v>
      </c>
      <c r="F1856" s="29" t="s">
        <v>1050</v>
      </c>
      <c r="G1856" s="56" t="str">
        <f t="shared" ca="1" si="295"/>
        <v/>
      </c>
      <c r="H1856" s="28" t="str">
        <f t="shared" ca="1" si="296"/>
        <v/>
      </c>
      <c r="J1856" s="38" t="str">
        <f t="shared" si="297"/>
        <v xml:space="preserve"> </v>
      </c>
      <c r="K1856" s="39">
        <f t="shared" si="298"/>
        <v>0</v>
      </c>
      <c r="L1856" s="39" t="str">
        <f t="shared" si="299"/>
        <v/>
      </c>
      <c r="M1856" s="40" t="str">
        <f t="shared" si="300"/>
        <v xml:space="preserve"> </v>
      </c>
      <c r="N1856" s="41" t="str">
        <f t="shared" ca="1" si="301"/>
        <v/>
      </c>
      <c r="O1856" s="41" t="str">
        <f t="shared" si="302"/>
        <v xml:space="preserve"> </v>
      </c>
      <c r="P1856" s="60">
        <f t="shared" si="303"/>
        <v>0</v>
      </c>
    </row>
    <row r="1857" spans="1:16" ht="15" customHeight="1">
      <c r="A1857" s="28">
        <v>0</v>
      </c>
      <c r="B1857" s="28" t="s">
        <v>1053</v>
      </c>
      <c r="C1857" s="129" t="s">
        <v>1050</v>
      </c>
      <c r="D1857" s="128">
        <v>0</v>
      </c>
      <c r="E1857" s="128" t="s">
        <v>1050</v>
      </c>
      <c r="F1857" s="29" t="s">
        <v>1050</v>
      </c>
      <c r="G1857" s="56" t="str">
        <f t="shared" ca="1" si="295"/>
        <v/>
      </c>
      <c r="H1857" s="28" t="str">
        <f t="shared" ca="1" si="296"/>
        <v/>
      </c>
      <c r="J1857" s="38" t="str">
        <f t="shared" si="297"/>
        <v xml:space="preserve"> </v>
      </c>
      <c r="K1857" s="39">
        <f t="shared" si="298"/>
        <v>0</v>
      </c>
      <c r="L1857" s="39" t="str">
        <f t="shared" si="299"/>
        <v/>
      </c>
      <c r="M1857" s="40" t="str">
        <f t="shared" si="300"/>
        <v xml:space="preserve"> </v>
      </c>
      <c r="N1857" s="41" t="str">
        <f t="shared" ca="1" si="301"/>
        <v/>
      </c>
      <c r="O1857" s="41" t="str">
        <f t="shared" si="302"/>
        <v xml:space="preserve"> </v>
      </c>
      <c r="P1857" s="60">
        <f t="shared" si="303"/>
        <v>0</v>
      </c>
    </row>
    <row r="1858" spans="1:16" ht="15" customHeight="1">
      <c r="A1858" s="28">
        <v>0</v>
      </c>
      <c r="B1858" s="28" t="s">
        <v>1053</v>
      </c>
      <c r="C1858" s="129" t="s">
        <v>1050</v>
      </c>
      <c r="D1858" s="128">
        <v>0</v>
      </c>
      <c r="E1858" s="128" t="s">
        <v>1050</v>
      </c>
      <c r="F1858" s="29" t="s">
        <v>1050</v>
      </c>
      <c r="G1858" s="56" t="str">
        <f t="shared" ca="1" si="295"/>
        <v/>
      </c>
      <c r="H1858" s="28" t="str">
        <f t="shared" ca="1" si="296"/>
        <v/>
      </c>
      <c r="J1858" s="38" t="str">
        <f t="shared" si="297"/>
        <v xml:space="preserve"> </v>
      </c>
      <c r="K1858" s="39">
        <f t="shared" si="298"/>
        <v>0</v>
      </c>
      <c r="L1858" s="39" t="str">
        <f t="shared" si="299"/>
        <v/>
      </c>
      <c r="M1858" s="40" t="str">
        <f t="shared" si="300"/>
        <v xml:space="preserve"> </v>
      </c>
      <c r="N1858" s="41" t="str">
        <f t="shared" ca="1" si="301"/>
        <v/>
      </c>
      <c r="O1858" s="41" t="str">
        <f t="shared" si="302"/>
        <v xml:space="preserve"> </v>
      </c>
      <c r="P1858" s="60">
        <f t="shared" si="303"/>
        <v>0</v>
      </c>
    </row>
    <row r="1859" spans="1:16" ht="15" customHeight="1">
      <c r="A1859" s="28">
        <v>0</v>
      </c>
      <c r="B1859" s="28" t="s">
        <v>1053</v>
      </c>
      <c r="C1859" s="129" t="s">
        <v>1050</v>
      </c>
      <c r="D1859" s="128">
        <v>0</v>
      </c>
      <c r="E1859" s="128" t="s">
        <v>1050</v>
      </c>
      <c r="F1859" s="29" t="s">
        <v>1050</v>
      </c>
      <c r="G1859" s="56" t="str">
        <f t="shared" ref="G1859:G1922" ca="1" si="304">IFERROR(IF(YEAR(TODAY())-YEAR(F1859)&lt;7," ",IF(YEAR(TODAY())-YEAR(F1859)&lt;10,"Benjamim A",IF(YEAR(TODAY())-YEAR(F1859)&lt;12,"Benjamim B",IF(YEAR(TODAY())-YEAR(F1859)&lt;14,"Infantil",IF(YEAR(TODAY())-YEAR(F1859)&lt;16,"Iniciado",IF(YEAR(TODAY())-YEAR(F1859)&lt;18,"Juvenil",IF(YEAR(TODAY())-YEAR(F1859)&lt;20,"Júnior",IF(YEAR(TODAY())-YEAR(F1859)&lt;23,"sub 23",IF(ROUNDDOWN(INT(TODAY()-F1859)/365.25,0)&lt;35,"Sénior",IF(ROUNDDOWN(INT(TODAY()-F1859)/365.25,0)&lt;40,"V 35",IF(ROUNDDOWN(INT(TODAY()-F1859)/365.25,0)&lt;45,"V 40",IF(ROUNDDOWN(INT(TODAY()-F1859)/365.25,0)&lt;50,"V 45",IF(ROUNDDOWN(INT(TODAY()-F1859)/365.25,0)&lt;55,"V 50",IF(ROUNDDOWN(INT(TODAY()-F1859)/365.25,0)&lt;60,"V 55",IF(ROUNDDOWN(INT(TODAY()-F1859)/365.25,0)&lt;65,"V 60",IF(ROUNDDOWN(INT(TODAY()-F1859)/365.25,0)&lt;70,"V 65",IF(ROUNDDOWN(INT(TODAY()-F1859)/365.25,0)&lt;75,"V 70",IF(ROUNDDOWN(INT(TODAY()-F1859)/365.25,0)&lt;80,"V 75",IF(ROUNDDOWN(INT(TODAY()-F1859)/365.25,0)&lt;85,"V 80",IF(ROUNDDOWN(INT(TODAY()-F1859)/365.25,0)&lt;90,"V 85",IF(ROUNDDOWN(INT(TODAY()-F1859)/365.25,0)&lt;95,"V 90",IF(ROUNDDOWN(INT(TODAY()-F1859)/365.25,0)&lt;100,"V 95",IF(ROUNDDOWN(INT(TODAY()-F1859)/365.25,0)&gt;=100,"V 100",""))))))))))))))))))))))),"")</f>
        <v/>
      </c>
      <c r="H1859" s="28" t="str">
        <f t="shared" ca="1" si="296"/>
        <v/>
      </c>
      <c r="J1859" s="38" t="str">
        <f t="shared" si="297"/>
        <v xml:space="preserve"> </v>
      </c>
      <c r="K1859" s="39">
        <f t="shared" si="298"/>
        <v>0</v>
      </c>
      <c r="L1859" s="39" t="str">
        <f t="shared" si="299"/>
        <v/>
      </c>
      <c r="M1859" s="40" t="str">
        <f t="shared" si="300"/>
        <v xml:space="preserve"> </v>
      </c>
      <c r="N1859" s="41" t="str">
        <f t="shared" ca="1" si="301"/>
        <v/>
      </c>
      <c r="O1859" s="41" t="str">
        <f t="shared" si="302"/>
        <v xml:space="preserve"> </v>
      </c>
      <c r="P1859" s="60">
        <f t="shared" si="303"/>
        <v>0</v>
      </c>
    </row>
    <row r="1860" spans="1:16" ht="15" customHeight="1">
      <c r="A1860" s="28">
        <v>0</v>
      </c>
      <c r="B1860" s="28" t="s">
        <v>1053</v>
      </c>
      <c r="C1860" s="129" t="s">
        <v>1050</v>
      </c>
      <c r="D1860" s="128">
        <v>0</v>
      </c>
      <c r="E1860" s="128" t="s">
        <v>1050</v>
      </c>
      <c r="F1860" s="29" t="s">
        <v>1050</v>
      </c>
      <c r="G1860" s="56" t="str">
        <f t="shared" ca="1" si="304"/>
        <v/>
      </c>
      <c r="H1860" s="28" t="str">
        <f t="shared" ca="1" si="296"/>
        <v/>
      </c>
      <c r="J1860" s="38" t="str">
        <f t="shared" si="297"/>
        <v xml:space="preserve"> </v>
      </c>
      <c r="K1860" s="39">
        <f t="shared" si="298"/>
        <v>0</v>
      </c>
      <c r="L1860" s="39" t="str">
        <f t="shared" si="299"/>
        <v/>
      </c>
      <c r="M1860" s="40" t="str">
        <f t="shared" si="300"/>
        <v xml:space="preserve"> </v>
      </c>
      <c r="N1860" s="41" t="str">
        <f t="shared" ca="1" si="301"/>
        <v/>
      </c>
      <c r="O1860" s="41" t="str">
        <f t="shared" si="302"/>
        <v xml:space="preserve"> </v>
      </c>
      <c r="P1860" s="60">
        <f t="shared" si="303"/>
        <v>0</v>
      </c>
    </row>
    <row r="1861" spans="1:16" ht="15" customHeight="1">
      <c r="A1861" s="28">
        <v>0</v>
      </c>
      <c r="B1861" s="28" t="s">
        <v>1053</v>
      </c>
      <c r="C1861" s="129" t="s">
        <v>1050</v>
      </c>
      <c r="D1861" s="128">
        <v>0</v>
      </c>
      <c r="E1861" s="128" t="s">
        <v>1050</v>
      </c>
      <c r="F1861" s="29" t="s">
        <v>1050</v>
      </c>
      <c r="G1861" s="56" t="str">
        <f t="shared" ca="1" si="304"/>
        <v/>
      </c>
      <c r="H1861" s="28" t="str">
        <f t="shared" ca="1" si="296"/>
        <v/>
      </c>
      <c r="J1861" s="38" t="str">
        <f t="shared" si="297"/>
        <v xml:space="preserve"> </v>
      </c>
      <c r="K1861" s="39">
        <f t="shared" si="298"/>
        <v>0</v>
      </c>
      <c r="L1861" s="39" t="str">
        <f t="shared" si="299"/>
        <v/>
      </c>
      <c r="M1861" s="40" t="str">
        <f t="shared" si="300"/>
        <v xml:space="preserve"> </v>
      </c>
      <c r="N1861" s="41" t="str">
        <f t="shared" ca="1" si="301"/>
        <v/>
      </c>
      <c r="O1861" s="41" t="str">
        <f t="shared" si="302"/>
        <v xml:space="preserve"> </v>
      </c>
      <c r="P1861" s="60">
        <f t="shared" si="303"/>
        <v>0</v>
      </c>
    </row>
    <row r="1862" spans="1:16" ht="15" customHeight="1">
      <c r="A1862" s="28">
        <v>0</v>
      </c>
      <c r="B1862" s="28" t="s">
        <v>1053</v>
      </c>
      <c r="C1862" s="129" t="s">
        <v>1050</v>
      </c>
      <c r="D1862" s="128">
        <v>0</v>
      </c>
      <c r="E1862" s="128" t="s">
        <v>1050</v>
      </c>
      <c r="F1862" s="29" t="s">
        <v>1050</v>
      </c>
      <c r="G1862" s="56" t="str">
        <f t="shared" ca="1" si="304"/>
        <v/>
      </c>
      <c r="H1862" s="28" t="str">
        <f t="shared" ca="1" si="296"/>
        <v/>
      </c>
      <c r="J1862" s="38" t="str">
        <f t="shared" si="297"/>
        <v xml:space="preserve"> </v>
      </c>
      <c r="K1862" s="39">
        <f t="shared" si="298"/>
        <v>0</v>
      </c>
      <c r="L1862" s="39" t="str">
        <f t="shared" si="299"/>
        <v/>
      </c>
      <c r="M1862" s="40" t="str">
        <f t="shared" si="300"/>
        <v xml:space="preserve"> </v>
      </c>
      <c r="N1862" s="41" t="str">
        <f t="shared" ca="1" si="301"/>
        <v/>
      </c>
      <c r="O1862" s="41" t="str">
        <f t="shared" si="302"/>
        <v xml:space="preserve"> </v>
      </c>
      <c r="P1862" s="60">
        <f t="shared" si="303"/>
        <v>0</v>
      </c>
    </row>
    <row r="1863" spans="1:16" ht="15" customHeight="1">
      <c r="A1863" s="28">
        <v>0</v>
      </c>
      <c r="B1863" s="28" t="s">
        <v>1053</v>
      </c>
      <c r="C1863" s="129" t="s">
        <v>1050</v>
      </c>
      <c r="D1863" s="128">
        <v>0</v>
      </c>
      <c r="E1863" s="128" t="s">
        <v>1050</v>
      </c>
      <c r="F1863" s="29" t="s">
        <v>1050</v>
      </c>
      <c r="G1863" s="56" t="str">
        <f t="shared" ca="1" si="304"/>
        <v/>
      </c>
      <c r="H1863" s="28" t="str">
        <f t="shared" ca="1" si="296"/>
        <v/>
      </c>
      <c r="J1863" s="38" t="str">
        <f t="shared" si="297"/>
        <v xml:space="preserve"> </v>
      </c>
      <c r="K1863" s="39">
        <f t="shared" si="298"/>
        <v>0</v>
      </c>
      <c r="L1863" s="39" t="str">
        <f t="shared" si="299"/>
        <v/>
      </c>
      <c r="M1863" s="40" t="str">
        <f t="shared" si="300"/>
        <v xml:space="preserve"> </v>
      </c>
      <c r="N1863" s="41" t="str">
        <f t="shared" ca="1" si="301"/>
        <v/>
      </c>
      <c r="O1863" s="41" t="str">
        <f t="shared" si="302"/>
        <v xml:space="preserve"> </v>
      </c>
      <c r="P1863" s="60">
        <f t="shared" si="303"/>
        <v>0</v>
      </c>
    </row>
    <row r="1864" spans="1:16" ht="15" customHeight="1">
      <c r="A1864" s="28">
        <v>0</v>
      </c>
      <c r="B1864" s="28" t="s">
        <v>1053</v>
      </c>
      <c r="C1864" s="129" t="s">
        <v>1050</v>
      </c>
      <c r="D1864" s="128">
        <v>0</v>
      </c>
      <c r="E1864" s="128" t="s">
        <v>1050</v>
      </c>
      <c r="F1864" s="29" t="s">
        <v>1050</v>
      </c>
      <c r="G1864" s="56" t="str">
        <f t="shared" ca="1" si="304"/>
        <v/>
      </c>
      <c r="H1864" s="28" t="str">
        <f t="shared" ca="1" si="296"/>
        <v/>
      </c>
      <c r="J1864" s="38" t="str">
        <f t="shared" si="297"/>
        <v xml:space="preserve"> </v>
      </c>
      <c r="K1864" s="39">
        <f t="shared" si="298"/>
        <v>0</v>
      </c>
      <c r="L1864" s="39" t="str">
        <f t="shared" si="299"/>
        <v/>
      </c>
      <c r="M1864" s="40" t="str">
        <f t="shared" si="300"/>
        <v xml:space="preserve"> </v>
      </c>
      <c r="N1864" s="41" t="str">
        <f t="shared" ca="1" si="301"/>
        <v/>
      </c>
      <c r="O1864" s="41" t="str">
        <f t="shared" si="302"/>
        <v xml:space="preserve"> </v>
      </c>
      <c r="P1864" s="60">
        <f t="shared" si="303"/>
        <v>0</v>
      </c>
    </row>
    <row r="1865" spans="1:16" ht="15" customHeight="1">
      <c r="A1865" s="28">
        <v>0</v>
      </c>
      <c r="B1865" s="28" t="s">
        <v>1053</v>
      </c>
      <c r="C1865" s="129" t="s">
        <v>1050</v>
      </c>
      <c r="D1865" s="128">
        <v>0</v>
      </c>
      <c r="E1865" s="128" t="s">
        <v>1050</v>
      </c>
      <c r="F1865" s="29" t="s">
        <v>1050</v>
      </c>
      <c r="G1865" s="56" t="str">
        <f t="shared" ca="1" si="304"/>
        <v/>
      </c>
      <c r="H1865" s="28" t="str">
        <f t="shared" ca="1" si="296"/>
        <v/>
      </c>
      <c r="J1865" s="38" t="str">
        <f t="shared" si="297"/>
        <v xml:space="preserve"> </v>
      </c>
      <c r="K1865" s="39">
        <f t="shared" si="298"/>
        <v>0</v>
      </c>
      <c r="L1865" s="39" t="str">
        <f t="shared" si="299"/>
        <v/>
      </c>
      <c r="M1865" s="40" t="str">
        <f t="shared" si="300"/>
        <v xml:space="preserve"> </v>
      </c>
      <c r="N1865" s="41" t="str">
        <f t="shared" ca="1" si="301"/>
        <v/>
      </c>
      <c r="O1865" s="41" t="str">
        <f t="shared" si="302"/>
        <v xml:space="preserve"> </v>
      </c>
      <c r="P1865" s="60">
        <f t="shared" si="303"/>
        <v>0</v>
      </c>
    </row>
    <row r="1866" spans="1:16" ht="15" customHeight="1">
      <c r="A1866" s="28">
        <v>0</v>
      </c>
      <c r="B1866" s="28" t="s">
        <v>1053</v>
      </c>
      <c r="C1866" s="129" t="s">
        <v>1050</v>
      </c>
      <c r="D1866" s="128">
        <v>0</v>
      </c>
      <c r="E1866" s="128" t="s">
        <v>1050</v>
      </c>
      <c r="F1866" s="29" t="s">
        <v>1050</v>
      </c>
      <c r="G1866" s="56" t="str">
        <f t="shared" ca="1" si="304"/>
        <v/>
      </c>
      <c r="H1866" s="28" t="str">
        <f t="shared" ca="1" si="296"/>
        <v/>
      </c>
      <c r="J1866" s="38" t="str">
        <f t="shared" si="297"/>
        <v xml:space="preserve"> </v>
      </c>
      <c r="K1866" s="39">
        <f t="shared" si="298"/>
        <v>0</v>
      </c>
      <c r="L1866" s="39" t="str">
        <f t="shared" si="299"/>
        <v/>
      </c>
      <c r="M1866" s="40" t="str">
        <f t="shared" si="300"/>
        <v xml:space="preserve"> </v>
      </c>
      <c r="N1866" s="41" t="str">
        <f t="shared" ca="1" si="301"/>
        <v/>
      </c>
      <c r="O1866" s="41" t="str">
        <f t="shared" si="302"/>
        <v xml:space="preserve"> </v>
      </c>
      <c r="P1866" s="60">
        <f t="shared" si="303"/>
        <v>0</v>
      </c>
    </row>
    <row r="1867" spans="1:16" ht="15" customHeight="1">
      <c r="A1867" s="28">
        <v>0</v>
      </c>
      <c r="B1867" s="28" t="s">
        <v>1053</v>
      </c>
      <c r="C1867" s="129" t="s">
        <v>1050</v>
      </c>
      <c r="D1867" s="128">
        <v>0</v>
      </c>
      <c r="E1867" s="128" t="s">
        <v>1050</v>
      </c>
      <c r="F1867" s="29" t="s">
        <v>1050</v>
      </c>
      <c r="G1867" s="56" t="str">
        <f t="shared" ca="1" si="304"/>
        <v/>
      </c>
      <c r="H1867" s="28" t="str">
        <f t="shared" ca="1" si="296"/>
        <v/>
      </c>
      <c r="J1867" s="38" t="str">
        <f t="shared" si="297"/>
        <v xml:space="preserve"> </v>
      </c>
      <c r="K1867" s="39">
        <f t="shared" si="298"/>
        <v>0</v>
      </c>
      <c r="L1867" s="39" t="str">
        <f t="shared" si="299"/>
        <v/>
      </c>
      <c r="M1867" s="40" t="str">
        <f t="shared" si="300"/>
        <v xml:space="preserve"> </v>
      </c>
      <c r="N1867" s="41" t="str">
        <f t="shared" ca="1" si="301"/>
        <v/>
      </c>
      <c r="O1867" s="41" t="str">
        <f t="shared" si="302"/>
        <v xml:space="preserve"> </v>
      </c>
      <c r="P1867" s="60">
        <f t="shared" si="303"/>
        <v>0</v>
      </c>
    </row>
    <row r="1868" spans="1:16" ht="15" customHeight="1">
      <c r="A1868" s="28">
        <v>0</v>
      </c>
      <c r="B1868" s="28" t="s">
        <v>1053</v>
      </c>
      <c r="C1868" s="129" t="s">
        <v>1050</v>
      </c>
      <c r="D1868" s="128">
        <v>0</v>
      </c>
      <c r="E1868" s="128" t="s">
        <v>1050</v>
      </c>
      <c r="F1868" s="29" t="s">
        <v>1050</v>
      </c>
      <c r="G1868" s="56" t="str">
        <f t="shared" ca="1" si="304"/>
        <v/>
      </c>
      <c r="H1868" s="28" t="str">
        <f t="shared" ca="1" si="296"/>
        <v/>
      </c>
      <c r="J1868" s="38" t="str">
        <f t="shared" si="297"/>
        <v xml:space="preserve"> </v>
      </c>
      <c r="K1868" s="39">
        <f t="shared" si="298"/>
        <v>0</v>
      </c>
      <c r="L1868" s="39" t="str">
        <f t="shared" si="299"/>
        <v/>
      </c>
      <c r="M1868" s="40" t="str">
        <f t="shared" si="300"/>
        <v xml:space="preserve"> </v>
      </c>
      <c r="N1868" s="41" t="str">
        <f t="shared" ca="1" si="301"/>
        <v/>
      </c>
      <c r="O1868" s="41" t="str">
        <f t="shared" si="302"/>
        <v xml:space="preserve"> </v>
      </c>
      <c r="P1868" s="60">
        <f t="shared" si="303"/>
        <v>0</v>
      </c>
    </row>
    <row r="1869" spans="1:16" ht="15" customHeight="1">
      <c r="A1869" s="28">
        <v>0</v>
      </c>
      <c r="B1869" s="28" t="s">
        <v>1053</v>
      </c>
      <c r="C1869" s="129" t="s">
        <v>1050</v>
      </c>
      <c r="D1869" s="128">
        <v>0</v>
      </c>
      <c r="E1869" s="128" t="s">
        <v>1050</v>
      </c>
      <c r="F1869" s="29" t="s">
        <v>1050</v>
      </c>
      <c r="G1869" s="56" t="str">
        <f t="shared" ca="1" si="304"/>
        <v/>
      </c>
      <c r="H1869" s="28" t="str">
        <f t="shared" ca="1" si="296"/>
        <v/>
      </c>
      <c r="J1869" s="38" t="str">
        <f t="shared" si="297"/>
        <v xml:space="preserve"> </v>
      </c>
      <c r="K1869" s="39">
        <f t="shared" si="298"/>
        <v>0</v>
      </c>
      <c r="L1869" s="39" t="str">
        <f t="shared" si="299"/>
        <v/>
      </c>
      <c r="M1869" s="40" t="str">
        <f t="shared" si="300"/>
        <v xml:space="preserve"> </v>
      </c>
      <c r="N1869" s="41" t="str">
        <f t="shared" ca="1" si="301"/>
        <v/>
      </c>
      <c r="O1869" s="41" t="str">
        <f t="shared" si="302"/>
        <v xml:space="preserve"> </v>
      </c>
      <c r="P1869" s="60">
        <f t="shared" si="303"/>
        <v>0</v>
      </c>
    </row>
    <row r="1870" spans="1:16" ht="15" customHeight="1">
      <c r="A1870" s="28">
        <v>0</v>
      </c>
      <c r="B1870" s="28" t="s">
        <v>1053</v>
      </c>
      <c r="C1870" s="129" t="s">
        <v>1050</v>
      </c>
      <c r="D1870" s="128">
        <v>0</v>
      </c>
      <c r="E1870" s="128" t="s">
        <v>1050</v>
      </c>
      <c r="F1870" s="29" t="s">
        <v>1050</v>
      </c>
      <c r="G1870" s="56" t="str">
        <f t="shared" ca="1" si="304"/>
        <v/>
      </c>
      <c r="H1870" s="28" t="str">
        <f t="shared" ca="1" si="296"/>
        <v/>
      </c>
      <c r="J1870" s="38" t="str">
        <f t="shared" si="297"/>
        <v xml:space="preserve"> </v>
      </c>
      <c r="K1870" s="39">
        <f t="shared" si="298"/>
        <v>0</v>
      </c>
      <c r="L1870" s="39" t="str">
        <f t="shared" si="299"/>
        <v/>
      </c>
      <c r="M1870" s="40" t="str">
        <f t="shared" si="300"/>
        <v xml:space="preserve"> </v>
      </c>
      <c r="N1870" s="41" t="str">
        <f t="shared" ca="1" si="301"/>
        <v/>
      </c>
      <c r="O1870" s="41" t="str">
        <f t="shared" si="302"/>
        <v xml:space="preserve"> </v>
      </c>
      <c r="P1870" s="60">
        <f t="shared" si="303"/>
        <v>0</v>
      </c>
    </row>
    <row r="1871" spans="1:16" ht="15" customHeight="1">
      <c r="A1871" s="28">
        <v>0</v>
      </c>
      <c r="B1871" s="28" t="s">
        <v>1053</v>
      </c>
      <c r="C1871" s="129" t="s">
        <v>1050</v>
      </c>
      <c r="D1871" s="128">
        <v>0</v>
      </c>
      <c r="E1871" s="128" t="s">
        <v>1050</v>
      </c>
      <c r="F1871" s="29" t="s">
        <v>1050</v>
      </c>
      <c r="G1871" s="56" t="str">
        <f t="shared" ca="1" si="304"/>
        <v/>
      </c>
      <c r="H1871" s="28" t="str">
        <f t="shared" ca="1" si="296"/>
        <v/>
      </c>
      <c r="J1871" s="38" t="str">
        <f t="shared" si="297"/>
        <v xml:space="preserve"> </v>
      </c>
      <c r="K1871" s="39">
        <f t="shared" si="298"/>
        <v>0</v>
      </c>
      <c r="L1871" s="39" t="str">
        <f t="shared" si="299"/>
        <v/>
      </c>
      <c r="M1871" s="40" t="str">
        <f t="shared" si="300"/>
        <v xml:space="preserve"> </v>
      </c>
      <c r="N1871" s="41" t="str">
        <f t="shared" ca="1" si="301"/>
        <v/>
      </c>
      <c r="O1871" s="41" t="str">
        <f t="shared" si="302"/>
        <v xml:space="preserve"> </v>
      </c>
      <c r="P1871" s="60">
        <f t="shared" si="303"/>
        <v>0</v>
      </c>
    </row>
    <row r="1872" spans="1:16" ht="15" customHeight="1">
      <c r="A1872" s="28">
        <v>0</v>
      </c>
      <c r="B1872" s="28" t="s">
        <v>1053</v>
      </c>
      <c r="C1872" s="129" t="s">
        <v>1050</v>
      </c>
      <c r="D1872" s="128">
        <v>0</v>
      </c>
      <c r="E1872" s="128" t="s">
        <v>1050</v>
      </c>
      <c r="F1872" s="29" t="s">
        <v>1050</v>
      </c>
      <c r="G1872" s="56" t="str">
        <f t="shared" ca="1" si="304"/>
        <v/>
      </c>
      <c r="H1872" s="28" t="str">
        <f t="shared" ca="1" si="296"/>
        <v/>
      </c>
      <c r="J1872" s="38" t="str">
        <f t="shared" si="297"/>
        <v xml:space="preserve"> </v>
      </c>
      <c r="K1872" s="39">
        <f t="shared" si="298"/>
        <v>0</v>
      </c>
      <c r="L1872" s="39" t="str">
        <f t="shared" si="299"/>
        <v/>
      </c>
      <c r="M1872" s="40" t="str">
        <f t="shared" si="300"/>
        <v xml:space="preserve"> </v>
      </c>
      <c r="N1872" s="41" t="str">
        <f t="shared" ca="1" si="301"/>
        <v/>
      </c>
      <c r="O1872" s="41" t="str">
        <f t="shared" si="302"/>
        <v xml:space="preserve"> </v>
      </c>
      <c r="P1872" s="60">
        <f t="shared" si="303"/>
        <v>0</v>
      </c>
    </row>
    <row r="1873" spans="1:16" ht="15" customHeight="1">
      <c r="A1873" s="28">
        <v>0</v>
      </c>
      <c r="B1873" s="28" t="s">
        <v>1053</v>
      </c>
      <c r="C1873" s="129" t="s">
        <v>1050</v>
      </c>
      <c r="D1873" s="128">
        <v>0</v>
      </c>
      <c r="E1873" s="128" t="s">
        <v>1050</v>
      </c>
      <c r="F1873" s="29" t="s">
        <v>1050</v>
      </c>
      <c r="G1873" s="56" t="str">
        <f t="shared" ca="1" si="304"/>
        <v/>
      </c>
      <c r="H1873" s="28" t="str">
        <f t="shared" ca="1" si="296"/>
        <v/>
      </c>
      <c r="J1873" s="38" t="str">
        <f t="shared" si="297"/>
        <v xml:space="preserve"> </v>
      </c>
      <c r="K1873" s="39">
        <f t="shared" si="298"/>
        <v>0</v>
      </c>
      <c r="L1873" s="39" t="str">
        <f t="shared" si="299"/>
        <v/>
      </c>
      <c r="M1873" s="40" t="str">
        <f t="shared" si="300"/>
        <v xml:space="preserve"> </v>
      </c>
      <c r="N1873" s="41" t="str">
        <f t="shared" ca="1" si="301"/>
        <v/>
      </c>
      <c r="O1873" s="41" t="str">
        <f t="shared" si="302"/>
        <v xml:space="preserve"> </v>
      </c>
      <c r="P1873" s="60">
        <f t="shared" si="303"/>
        <v>0</v>
      </c>
    </row>
    <row r="1874" spans="1:16" ht="15" customHeight="1">
      <c r="A1874" s="28">
        <v>0</v>
      </c>
      <c r="B1874" s="28" t="s">
        <v>1053</v>
      </c>
      <c r="C1874" s="129" t="s">
        <v>1050</v>
      </c>
      <c r="D1874" s="128">
        <v>0</v>
      </c>
      <c r="E1874" s="128" t="s">
        <v>1050</v>
      </c>
      <c r="F1874" s="29" t="s">
        <v>1050</v>
      </c>
      <c r="G1874" s="56" t="str">
        <f t="shared" ca="1" si="304"/>
        <v/>
      </c>
      <c r="H1874" s="28" t="str">
        <f t="shared" ca="1" si="296"/>
        <v/>
      </c>
      <c r="J1874" s="38" t="str">
        <f t="shared" si="297"/>
        <v xml:space="preserve"> </v>
      </c>
      <c r="K1874" s="39">
        <f t="shared" si="298"/>
        <v>0</v>
      </c>
      <c r="L1874" s="39" t="str">
        <f t="shared" si="299"/>
        <v/>
      </c>
      <c r="M1874" s="40" t="str">
        <f t="shared" si="300"/>
        <v xml:space="preserve"> </v>
      </c>
      <c r="N1874" s="41" t="str">
        <f t="shared" ca="1" si="301"/>
        <v/>
      </c>
      <c r="O1874" s="41" t="str">
        <f t="shared" si="302"/>
        <v xml:space="preserve"> </v>
      </c>
      <c r="P1874" s="60">
        <f t="shared" si="303"/>
        <v>0</v>
      </c>
    </row>
    <row r="1875" spans="1:16" ht="15" customHeight="1">
      <c r="A1875" s="28">
        <v>0</v>
      </c>
      <c r="B1875" s="28" t="s">
        <v>1053</v>
      </c>
      <c r="C1875" s="129" t="s">
        <v>1050</v>
      </c>
      <c r="D1875" s="128">
        <v>0</v>
      </c>
      <c r="E1875" s="128" t="s">
        <v>1050</v>
      </c>
      <c r="F1875" s="29" t="s">
        <v>1050</v>
      </c>
      <c r="G1875" s="56" t="str">
        <f t="shared" ca="1" si="304"/>
        <v/>
      </c>
      <c r="H1875" s="28" t="str">
        <f t="shared" ca="1" si="296"/>
        <v/>
      </c>
      <c r="J1875" s="38" t="str">
        <f t="shared" si="297"/>
        <v xml:space="preserve"> </v>
      </c>
      <c r="K1875" s="39">
        <f t="shared" si="298"/>
        <v>0</v>
      </c>
      <c r="L1875" s="39" t="str">
        <f t="shared" si="299"/>
        <v/>
      </c>
      <c r="M1875" s="40" t="str">
        <f t="shared" si="300"/>
        <v xml:space="preserve"> </v>
      </c>
      <c r="N1875" s="41" t="str">
        <f t="shared" ca="1" si="301"/>
        <v/>
      </c>
      <c r="O1875" s="41" t="str">
        <f t="shared" si="302"/>
        <v xml:space="preserve"> </v>
      </c>
      <c r="P1875" s="60">
        <f t="shared" si="303"/>
        <v>0</v>
      </c>
    </row>
    <row r="1876" spans="1:16" ht="15" customHeight="1">
      <c r="A1876" s="28">
        <v>0</v>
      </c>
      <c r="B1876" s="28" t="s">
        <v>1053</v>
      </c>
      <c r="C1876" s="129" t="s">
        <v>1050</v>
      </c>
      <c r="D1876" s="128">
        <v>0</v>
      </c>
      <c r="E1876" s="128" t="s">
        <v>1050</v>
      </c>
      <c r="F1876" s="29" t="s">
        <v>1050</v>
      </c>
      <c r="G1876" s="56" t="str">
        <f t="shared" ca="1" si="304"/>
        <v/>
      </c>
      <c r="H1876" s="28" t="str">
        <f t="shared" ca="1" si="296"/>
        <v/>
      </c>
      <c r="J1876" s="38" t="str">
        <f t="shared" si="297"/>
        <v xml:space="preserve"> </v>
      </c>
      <c r="K1876" s="39">
        <f t="shared" si="298"/>
        <v>0</v>
      </c>
      <c r="L1876" s="39" t="str">
        <f t="shared" si="299"/>
        <v/>
      </c>
      <c r="M1876" s="40" t="str">
        <f t="shared" si="300"/>
        <v xml:space="preserve"> </v>
      </c>
      <c r="N1876" s="41" t="str">
        <f t="shared" ca="1" si="301"/>
        <v/>
      </c>
      <c r="O1876" s="41" t="str">
        <f t="shared" si="302"/>
        <v xml:space="preserve"> </v>
      </c>
      <c r="P1876" s="60">
        <f t="shared" si="303"/>
        <v>0</v>
      </c>
    </row>
    <row r="1877" spans="1:16" ht="15" customHeight="1">
      <c r="A1877" s="28">
        <v>0</v>
      </c>
      <c r="B1877" s="28" t="s">
        <v>1053</v>
      </c>
      <c r="C1877" s="129" t="s">
        <v>1050</v>
      </c>
      <c r="D1877" s="128">
        <v>0</v>
      </c>
      <c r="E1877" s="128" t="s">
        <v>1050</v>
      </c>
      <c r="F1877" s="29" t="s">
        <v>1050</v>
      </c>
      <c r="G1877" s="56" t="str">
        <f t="shared" ca="1" si="304"/>
        <v/>
      </c>
      <c r="H1877" s="28" t="str">
        <f t="shared" ca="1" si="296"/>
        <v/>
      </c>
      <c r="J1877" s="38" t="str">
        <f t="shared" si="297"/>
        <v xml:space="preserve"> </v>
      </c>
      <c r="K1877" s="39">
        <f t="shared" si="298"/>
        <v>0</v>
      </c>
      <c r="L1877" s="39" t="str">
        <f t="shared" si="299"/>
        <v/>
      </c>
      <c r="M1877" s="40" t="str">
        <f t="shared" si="300"/>
        <v xml:space="preserve"> </v>
      </c>
      <c r="N1877" s="41" t="str">
        <f t="shared" ca="1" si="301"/>
        <v/>
      </c>
      <c r="O1877" s="41" t="str">
        <f t="shared" si="302"/>
        <v xml:space="preserve"> </v>
      </c>
      <c r="P1877" s="60">
        <f t="shared" si="303"/>
        <v>0</v>
      </c>
    </row>
    <row r="1878" spans="1:16" ht="15" customHeight="1">
      <c r="A1878" s="28">
        <v>0</v>
      </c>
      <c r="B1878" s="28" t="s">
        <v>1053</v>
      </c>
      <c r="C1878" s="129" t="s">
        <v>1050</v>
      </c>
      <c r="D1878" s="128">
        <v>0</v>
      </c>
      <c r="E1878" s="128" t="s">
        <v>1050</v>
      </c>
      <c r="F1878" s="29" t="s">
        <v>1050</v>
      </c>
      <c r="G1878" s="56" t="str">
        <f t="shared" ca="1" si="304"/>
        <v/>
      </c>
      <c r="H1878" s="28" t="str">
        <f t="shared" ca="1" si="296"/>
        <v/>
      </c>
      <c r="J1878" s="38" t="str">
        <f t="shared" si="297"/>
        <v xml:space="preserve"> </v>
      </c>
      <c r="K1878" s="39">
        <f t="shared" si="298"/>
        <v>0</v>
      </c>
      <c r="L1878" s="39" t="str">
        <f t="shared" si="299"/>
        <v/>
      </c>
      <c r="M1878" s="40" t="str">
        <f t="shared" si="300"/>
        <v xml:space="preserve"> </v>
      </c>
      <c r="N1878" s="41" t="str">
        <f t="shared" ca="1" si="301"/>
        <v/>
      </c>
      <c r="O1878" s="41" t="str">
        <f t="shared" si="302"/>
        <v xml:space="preserve"> </v>
      </c>
      <c r="P1878" s="60">
        <f t="shared" si="303"/>
        <v>0</v>
      </c>
    </row>
    <row r="1879" spans="1:16" ht="15" customHeight="1">
      <c r="A1879" s="28">
        <v>0</v>
      </c>
      <c r="B1879" s="28" t="s">
        <v>1053</v>
      </c>
      <c r="C1879" s="129" t="s">
        <v>1050</v>
      </c>
      <c r="D1879" s="128">
        <v>0</v>
      </c>
      <c r="E1879" s="128" t="s">
        <v>1050</v>
      </c>
      <c r="F1879" s="29" t="s">
        <v>1050</v>
      </c>
      <c r="G1879" s="56" t="str">
        <f t="shared" ca="1" si="304"/>
        <v/>
      </c>
      <c r="H1879" s="28" t="str">
        <f t="shared" ca="1" si="296"/>
        <v/>
      </c>
      <c r="J1879" s="38" t="str">
        <f t="shared" si="297"/>
        <v xml:space="preserve"> </v>
      </c>
      <c r="K1879" s="39">
        <f t="shared" si="298"/>
        <v>0</v>
      </c>
      <c r="L1879" s="39" t="str">
        <f t="shared" si="299"/>
        <v/>
      </c>
      <c r="M1879" s="40" t="str">
        <f t="shared" si="300"/>
        <v xml:space="preserve"> </v>
      </c>
      <c r="N1879" s="41" t="str">
        <f t="shared" ca="1" si="301"/>
        <v/>
      </c>
      <c r="O1879" s="41" t="str">
        <f t="shared" si="302"/>
        <v xml:space="preserve"> </v>
      </c>
      <c r="P1879" s="60">
        <f t="shared" si="303"/>
        <v>0</v>
      </c>
    </row>
    <row r="1880" spans="1:16" ht="15" customHeight="1">
      <c r="A1880" s="28">
        <v>0</v>
      </c>
      <c r="B1880" s="28" t="s">
        <v>1053</v>
      </c>
      <c r="C1880" s="129" t="s">
        <v>1050</v>
      </c>
      <c r="D1880" s="128">
        <v>0</v>
      </c>
      <c r="E1880" s="128" t="s">
        <v>1050</v>
      </c>
      <c r="F1880" s="29" t="s">
        <v>1050</v>
      </c>
      <c r="G1880" s="56" t="str">
        <f t="shared" ca="1" si="304"/>
        <v/>
      </c>
      <c r="H1880" s="28" t="str">
        <f t="shared" ca="1" si="296"/>
        <v/>
      </c>
      <c r="J1880" s="38" t="str">
        <f t="shared" si="297"/>
        <v xml:space="preserve"> </v>
      </c>
      <c r="K1880" s="39">
        <f t="shared" si="298"/>
        <v>0</v>
      </c>
      <c r="L1880" s="39" t="str">
        <f t="shared" si="299"/>
        <v/>
      </c>
      <c r="M1880" s="40" t="str">
        <f t="shared" si="300"/>
        <v xml:space="preserve"> </v>
      </c>
      <c r="N1880" s="41" t="str">
        <f t="shared" ca="1" si="301"/>
        <v/>
      </c>
      <c r="O1880" s="41" t="str">
        <f t="shared" si="302"/>
        <v xml:space="preserve"> </v>
      </c>
      <c r="P1880" s="60">
        <f t="shared" si="303"/>
        <v>0</v>
      </c>
    </row>
    <row r="1881" spans="1:16" ht="15" customHeight="1">
      <c r="A1881" s="28">
        <v>0</v>
      </c>
      <c r="B1881" s="28" t="s">
        <v>1053</v>
      </c>
      <c r="C1881" s="129" t="s">
        <v>1050</v>
      </c>
      <c r="D1881" s="128">
        <v>0</v>
      </c>
      <c r="E1881" s="128" t="s">
        <v>1050</v>
      </c>
      <c r="F1881" s="29" t="s">
        <v>1050</v>
      </c>
      <c r="G1881" s="56" t="str">
        <f t="shared" ca="1" si="304"/>
        <v/>
      </c>
      <c r="H1881" s="28" t="str">
        <f t="shared" ca="1" si="296"/>
        <v/>
      </c>
      <c r="J1881" s="38" t="str">
        <f t="shared" si="297"/>
        <v xml:space="preserve"> </v>
      </c>
      <c r="K1881" s="39">
        <f t="shared" si="298"/>
        <v>0</v>
      </c>
      <c r="L1881" s="39" t="str">
        <f t="shared" si="299"/>
        <v/>
      </c>
      <c r="M1881" s="40" t="str">
        <f t="shared" si="300"/>
        <v xml:space="preserve"> </v>
      </c>
      <c r="N1881" s="41" t="str">
        <f t="shared" ca="1" si="301"/>
        <v/>
      </c>
      <c r="O1881" s="41" t="str">
        <f t="shared" si="302"/>
        <v xml:space="preserve"> </v>
      </c>
      <c r="P1881" s="60">
        <f t="shared" si="303"/>
        <v>0</v>
      </c>
    </row>
    <row r="1882" spans="1:16" ht="15" customHeight="1">
      <c r="A1882" s="28">
        <v>0</v>
      </c>
      <c r="B1882" s="28" t="s">
        <v>1053</v>
      </c>
      <c r="C1882" s="129" t="s">
        <v>1050</v>
      </c>
      <c r="D1882" s="128">
        <v>0</v>
      </c>
      <c r="E1882" s="128" t="s">
        <v>1050</v>
      </c>
      <c r="F1882" s="29" t="s">
        <v>1050</v>
      </c>
      <c r="G1882" s="56" t="str">
        <f t="shared" ca="1" si="304"/>
        <v/>
      </c>
      <c r="H1882" s="28" t="str">
        <f t="shared" ca="1" si="296"/>
        <v/>
      </c>
      <c r="J1882" s="38" t="str">
        <f t="shared" si="297"/>
        <v xml:space="preserve"> </v>
      </c>
      <c r="K1882" s="39">
        <f t="shared" si="298"/>
        <v>0</v>
      </c>
      <c r="L1882" s="39" t="str">
        <f t="shared" si="299"/>
        <v/>
      </c>
      <c r="M1882" s="40" t="str">
        <f t="shared" si="300"/>
        <v xml:space="preserve"> </v>
      </c>
      <c r="N1882" s="41" t="str">
        <f t="shared" ca="1" si="301"/>
        <v/>
      </c>
      <c r="O1882" s="41" t="str">
        <f t="shared" si="302"/>
        <v xml:space="preserve"> </v>
      </c>
      <c r="P1882" s="60">
        <f t="shared" si="303"/>
        <v>0</v>
      </c>
    </row>
    <row r="1883" spans="1:16" ht="15" customHeight="1">
      <c r="A1883" s="28">
        <v>0</v>
      </c>
      <c r="B1883" s="28" t="s">
        <v>1053</v>
      </c>
      <c r="C1883" s="129" t="s">
        <v>1050</v>
      </c>
      <c r="D1883" s="128">
        <v>0</v>
      </c>
      <c r="E1883" s="128" t="s">
        <v>1050</v>
      </c>
      <c r="F1883" s="29" t="s">
        <v>1050</v>
      </c>
      <c r="G1883" s="56" t="str">
        <f t="shared" ca="1" si="304"/>
        <v/>
      </c>
      <c r="H1883" s="28" t="str">
        <f t="shared" ca="1" si="296"/>
        <v/>
      </c>
      <c r="J1883" s="38" t="str">
        <f t="shared" si="297"/>
        <v xml:space="preserve"> </v>
      </c>
      <c r="K1883" s="39">
        <f t="shared" si="298"/>
        <v>0</v>
      </c>
      <c r="L1883" s="39" t="str">
        <f t="shared" si="299"/>
        <v/>
      </c>
      <c r="M1883" s="40" t="str">
        <f t="shared" si="300"/>
        <v xml:space="preserve"> </v>
      </c>
      <c r="N1883" s="41" t="str">
        <f t="shared" ca="1" si="301"/>
        <v/>
      </c>
      <c r="O1883" s="41" t="str">
        <f t="shared" si="302"/>
        <v xml:space="preserve"> </v>
      </c>
      <c r="P1883" s="60">
        <f t="shared" si="303"/>
        <v>0</v>
      </c>
    </row>
    <row r="1884" spans="1:16" ht="15" customHeight="1">
      <c r="A1884" s="28">
        <v>0</v>
      </c>
      <c r="B1884" s="28" t="s">
        <v>1053</v>
      </c>
      <c r="C1884" s="129" t="s">
        <v>1050</v>
      </c>
      <c r="D1884" s="128">
        <v>0</v>
      </c>
      <c r="E1884" s="128" t="s">
        <v>1050</v>
      </c>
      <c r="F1884" s="29" t="s">
        <v>1050</v>
      </c>
      <c r="G1884" s="56" t="str">
        <f t="shared" ca="1" si="304"/>
        <v/>
      </c>
      <c r="H1884" s="28" t="str">
        <f t="shared" ca="1" si="296"/>
        <v/>
      </c>
      <c r="J1884" s="38" t="str">
        <f t="shared" si="297"/>
        <v xml:space="preserve"> </v>
      </c>
      <c r="K1884" s="39">
        <f t="shared" si="298"/>
        <v>0</v>
      </c>
      <c r="L1884" s="39" t="str">
        <f t="shared" si="299"/>
        <v/>
      </c>
      <c r="M1884" s="40" t="str">
        <f t="shared" si="300"/>
        <v xml:space="preserve"> </v>
      </c>
      <c r="N1884" s="41" t="str">
        <f t="shared" ca="1" si="301"/>
        <v/>
      </c>
      <c r="O1884" s="41" t="str">
        <f t="shared" si="302"/>
        <v xml:space="preserve"> </v>
      </c>
      <c r="P1884" s="60">
        <f t="shared" si="303"/>
        <v>0</v>
      </c>
    </row>
    <row r="1885" spans="1:16" ht="15" customHeight="1">
      <c r="A1885" s="28">
        <v>0</v>
      </c>
      <c r="B1885" s="28" t="s">
        <v>1053</v>
      </c>
      <c r="C1885" s="129" t="s">
        <v>1050</v>
      </c>
      <c r="D1885" s="128">
        <v>0</v>
      </c>
      <c r="E1885" s="128" t="s">
        <v>1050</v>
      </c>
      <c r="F1885" s="29" t="s">
        <v>1050</v>
      </c>
      <c r="G1885" s="56" t="str">
        <f t="shared" ca="1" si="304"/>
        <v/>
      </c>
      <c r="H1885" s="28" t="str">
        <f t="shared" ca="1" si="296"/>
        <v/>
      </c>
      <c r="J1885" s="38" t="str">
        <f t="shared" si="297"/>
        <v xml:space="preserve"> </v>
      </c>
      <c r="K1885" s="39">
        <f t="shared" si="298"/>
        <v>0</v>
      </c>
      <c r="L1885" s="39" t="str">
        <f t="shared" si="299"/>
        <v/>
      </c>
      <c r="M1885" s="40" t="str">
        <f t="shared" si="300"/>
        <v xml:space="preserve"> </v>
      </c>
      <c r="N1885" s="41" t="str">
        <f t="shared" ca="1" si="301"/>
        <v/>
      </c>
      <c r="O1885" s="41" t="str">
        <f t="shared" si="302"/>
        <v xml:space="preserve"> </v>
      </c>
      <c r="P1885" s="60">
        <f t="shared" si="303"/>
        <v>0</v>
      </c>
    </row>
    <row r="1886" spans="1:16" ht="15" customHeight="1">
      <c r="A1886" s="28">
        <v>0</v>
      </c>
      <c r="B1886" s="28" t="s">
        <v>1053</v>
      </c>
      <c r="C1886" s="129" t="s">
        <v>1050</v>
      </c>
      <c r="D1886" s="128">
        <v>0</v>
      </c>
      <c r="E1886" s="128" t="s">
        <v>1050</v>
      </c>
      <c r="F1886" s="29" t="s">
        <v>1050</v>
      </c>
      <c r="G1886" s="56" t="str">
        <f t="shared" ca="1" si="304"/>
        <v/>
      </c>
      <c r="H1886" s="28" t="str">
        <f t="shared" ca="1" si="296"/>
        <v/>
      </c>
      <c r="J1886" s="38" t="str">
        <f t="shared" si="297"/>
        <v xml:space="preserve"> </v>
      </c>
      <c r="K1886" s="39">
        <f t="shared" si="298"/>
        <v>0</v>
      </c>
      <c r="L1886" s="39" t="str">
        <f t="shared" si="299"/>
        <v/>
      </c>
      <c r="M1886" s="40" t="str">
        <f t="shared" si="300"/>
        <v xml:space="preserve"> </v>
      </c>
      <c r="N1886" s="41" t="str">
        <f t="shared" ca="1" si="301"/>
        <v/>
      </c>
      <c r="O1886" s="41" t="str">
        <f t="shared" si="302"/>
        <v xml:space="preserve"> </v>
      </c>
      <c r="P1886" s="60">
        <f t="shared" si="303"/>
        <v>0</v>
      </c>
    </row>
    <row r="1887" spans="1:16" ht="15" customHeight="1">
      <c r="A1887" s="28">
        <v>0</v>
      </c>
      <c r="B1887" s="28" t="s">
        <v>1053</v>
      </c>
      <c r="C1887" s="129" t="s">
        <v>1050</v>
      </c>
      <c r="D1887" s="128">
        <v>0</v>
      </c>
      <c r="E1887" s="128" t="s">
        <v>1050</v>
      </c>
      <c r="F1887" s="29" t="s">
        <v>1050</v>
      </c>
      <c r="G1887" s="56" t="str">
        <f t="shared" ca="1" si="304"/>
        <v/>
      </c>
      <c r="H1887" s="28" t="str">
        <f t="shared" ca="1" si="296"/>
        <v/>
      </c>
      <c r="J1887" s="38" t="str">
        <f t="shared" si="297"/>
        <v xml:space="preserve"> </v>
      </c>
      <c r="K1887" s="39">
        <f t="shared" si="298"/>
        <v>0</v>
      </c>
      <c r="L1887" s="39" t="str">
        <f t="shared" si="299"/>
        <v/>
      </c>
      <c r="M1887" s="40" t="str">
        <f t="shared" si="300"/>
        <v xml:space="preserve"> </v>
      </c>
      <c r="N1887" s="41" t="str">
        <f t="shared" ca="1" si="301"/>
        <v/>
      </c>
      <c r="O1887" s="41" t="str">
        <f t="shared" si="302"/>
        <v xml:space="preserve"> </v>
      </c>
      <c r="P1887" s="60">
        <f t="shared" si="303"/>
        <v>0</v>
      </c>
    </row>
    <row r="1888" spans="1:16" ht="15" customHeight="1">
      <c r="A1888" s="28">
        <v>0</v>
      </c>
      <c r="B1888" s="28" t="s">
        <v>1053</v>
      </c>
      <c r="C1888" s="129" t="s">
        <v>1050</v>
      </c>
      <c r="D1888" s="128">
        <v>0</v>
      </c>
      <c r="E1888" s="128" t="s">
        <v>1050</v>
      </c>
      <c r="F1888" s="29" t="s">
        <v>1050</v>
      </c>
      <c r="G1888" s="56" t="str">
        <f t="shared" ca="1" si="304"/>
        <v/>
      </c>
      <c r="H1888" s="28" t="str">
        <f t="shared" ca="1" si="296"/>
        <v/>
      </c>
      <c r="J1888" s="38" t="str">
        <f t="shared" si="297"/>
        <v xml:space="preserve"> </v>
      </c>
      <c r="K1888" s="39">
        <f t="shared" si="298"/>
        <v>0</v>
      </c>
      <c r="L1888" s="39" t="str">
        <f t="shared" si="299"/>
        <v/>
      </c>
      <c r="M1888" s="40" t="str">
        <f t="shared" si="300"/>
        <v xml:space="preserve"> </v>
      </c>
      <c r="N1888" s="41" t="str">
        <f t="shared" ca="1" si="301"/>
        <v/>
      </c>
      <c r="O1888" s="41" t="str">
        <f t="shared" si="302"/>
        <v xml:space="preserve"> </v>
      </c>
      <c r="P1888" s="60">
        <f t="shared" si="303"/>
        <v>0</v>
      </c>
    </row>
    <row r="1889" spans="1:16" ht="15" customHeight="1">
      <c r="A1889" s="28">
        <v>0</v>
      </c>
      <c r="B1889" s="28" t="s">
        <v>1053</v>
      </c>
      <c r="C1889" s="129" t="s">
        <v>1050</v>
      </c>
      <c r="D1889" s="128">
        <v>0</v>
      </c>
      <c r="E1889" s="128" t="s">
        <v>1050</v>
      </c>
      <c r="F1889" s="29" t="s">
        <v>1050</v>
      </c>
      <c r="G1889" s="56" t="str">
        <f t="shared" ca="1" si="304"/>
        <v/>
      </c>
      <c r="H1889" s="28" t="str">
        <f t="shared" ca="1" si="296"/>
        <v/>
      </c>
      <c r="J1889" s="38" t="str">
        <f t="shared" si="297"/>
        <v xml:space="preserve"> </v>
      </c>
      <c r="K1889" s="39">
        <f t="shared" si="298"/>
        <v>0</v>
      </c>
      <c r="L1889" s="39" t="str">
        <f t="shared" si="299"/>
        <v/>
      </c>
      <c r="M1889" s="40" t="str">
        <f t="shared" si="300"/>
        <v xml:space="preserve"> </v>
      </c>
      <c r="N1889" s="41" t="str">
        <f t="shared" ca="1" si="301"/>
        <v/>
      </c>
      <c r="O1889" s="41" t="str">
        <f t="shared" si="302"/>
        <v xml:space="preserve"> </v>
      </c>
      <c r="P1889" s="60">
        <f t="shared" si="303"/>
        <v>0</v>
      </c>
    </row>
    <row r="1890" spans="1:16" ht="15" customHeight="1">
      <c r="A1890" s="28">
        <v>0</v>
      </c>
      <c r="B1890" s="28" t="s">
        <v>1053</v>
      </c>
      <c r="C1890" s="129" t="s">
        <v>1050</v>
      </c>
      <c r="D1890" s="128">
        <v>0</v>
      </c>
      <c r="E1890" s="128" t="s">
        <v>1050</v>
      </c>
      <c r="F1890" s="29" t="s">
        <v>1050</v>
      </c>
      <c r="G1890" s="56" t="str">
        <f t="shared" ca="1" si="304"/>
        <v/>
      </c>
      <c r="H1890" s="28" t="str">
        <f t="shared" ca="1" si="296"/>
        <v/>
      </c>
      <c r="J1890" s="38" t="str">
        <f t="shared" si="297"/>
        <v xml:space="preserve"> </v>
      </c>
      <c r="K1890" s="39">
        <f t="shared" si="298"/>
        <v>0</v>
      </c>
      <c r="L1890" s="39" t="str">
        <f t="shared" si="299"/>
        <v/>
      </c>
      <c r="M1890" s="40" t="str">
        <f t="shared" si="300"/>
        <v xml:space="preserve"> </v>
      </c>
      <c r="N1890" s="41" t="str">
        <f t="shared" ca="1" si="301"/>
        <v/>
      </c>
      <c r="O1890" s="41" t="str">
        <f t="shared" si="302"/>
        <v xml:space="preserve"> </v>
      </c>
      <c r="P1890" s="60">
        <f t="shared" si="303"/>
        <v>0</v>
      </c>
    </row>
    <row r="1891" spans="1:16" ht="15" customHeight="1">
      <c r="A1891" s="28">
        <v>0</v>
      </c>
      <c r="B1891" s="28" t="s">
        <v>1053</v>
      </c>
      <c r="C1891" s="129" t="s">
        <v>1050</v>
      </c>
      <c r="D1891" s="128">
        <v>0</v>
      </c>
      <c r="E1891" s="128" t="s">
        <v>1050</v>
      </c>
      <c r="F1891" s="29" t="s">
        <v>1050</v>
      </c>
      <c r="G1891" s="56" t="str">
        <f t="shared" ca="1" si="304"/>
        <v/>
      </c>
      <c r="H1891" s="28" t="str">
        <f t="shared" ca="1" si="296"/>
        <v/>
      </c>
      <c r="J1891" s="38" t="str">
        <f t="shared" si="297"/>
        <v xml:space="preserve"> </v>
      </c>
      <c r="K1891" s="39">
        <f t="shared" si="298"/>
        <v>0</v>
      </c>
      <c r="L1891" s="39" t="str">
        <f t="shared" si="299"/>
        <v/>
      </c>
      <c r="M1891" s="40" t="str">
        <f t="shared" si="300"/>
        <v xml:space="preserve"> </v>
      </c>
      <c r="N1891" s="41" t="str">
        <f t="shared" ca="1" si="301"/>
        <v/>
      </c>
      <c r="O1891" s="41" t="str">
        <f t="shared" si="302"/>
        <v xml:space="preserve"> </v>
      </c>
      <c r="P1891" s="60">
        <f t="shared" si="303"/>
        <v>0</v>
      </c>
    </row>
    <row r="1892" spans="1:16" ht="15" customHeight="1">
      <c r="A1892" s="28">
        <v>0</v>
      </c>
      <c r="B1892" s="28" t="s">
        <v>1053</v>
      </c>
      <c r="C1892" s="129" t="s">
        <v>1050</v>
      </c>
      <c r="D1892" s="128">
        <v>0</v>
      </c>
      <c r="E1892" s="128" t="s">
        <v>1050</v>
      </c>
      <c r="F1892" s="29" t="s">
        <v>1050</v>
      </c>
      <c r="G1892" s="56" t="str">
        <f t="shared" ca="1" si="304"/>
        <v/>
      </c>
      <c r="H1892" s="28" t="str">
        <f t="shared" ca="1" si="296"/>
        <v/>
      </c>
      <c r="J1892" s="38" t="str">
        <f t="shared" si="297"/>
        <v xml:space="preserve"> </v>
      </c>
      <c r="K1892" s="39">
        <f t="shared" si="298"/>
        <v>0</v>
      </c>
      <c r="L1892" s="39" t="str">
        <f t="shared" si="299"/>
        <v/>
      </c>
      <c r="M1892" s="40" t="str">
        <f t="shared" si="300"/>
        <v xml:space="preserve"> </v>
      </c>
      <c r="N1892" s="41" t="str">
        <f t="shared" ca="1" si="301"/>
        <v/>
      </c>
      <c r="O1892" s="41" t="str">
        <f t="shared" si="302"/>
        <v xml:space="preserve"> </v>
      </c>
      <c r="P1892" s="60">
        <f t="shared" si="303"/>
        <v>0</v>
      </c>
    </row>
    <row r="1893" spans="1:16" ht="15" customHeight="1">
      <c r="A1893" s="28">
        <v>0</v>
      </c>
      <c r="B1893" s="28" t="s">
        <v>1053</v>
      </c>
      <c r="C1893" s="129" t="s">
        <v>1050</v>
      </c>
      <c r="D1893" s="128">
        <v>0</v>
      </c>
      <c r="E1893" s="128" t="s">
        <v>1050</v>
      </c>
      <c r="F1893" s="29" t="s">
        <v>1050</v>
      </c>
      <c r="G1893" s="56" t="str">
        <f t="shared" ca="1" si="304"/>
        <v/>
      </c>
      <c r="H1893" s="28" t="str">
        <f t="shared" ca="1" si="296"/>
        <v/>
      </c>
      <c r="J1893" s="38" t="str">
        <f t="shared" si="297"/>
        <v xml:space="preserve"> </v>
      </c>
      <c r="K1893" s="39">
        <f t="shared" si="298"/>
        <v>0</v>
      </c>
      <c r="L1893" s="39" t="str">
        <f t="shared" si="299"/>
        <v/>
      </c>
      <c r="M1893" s="40" t="str">
        <f t="shared" si="300"/>
        <v xml:space="preserve"> </v>
      </c>
      <c r="N1893" s="41" t="str">
        <f t="shared" ca="1" si="301"/>
        <v/>
      </c>
      <c r="O1893" s="41" t="str">
        <f t="shared" si="302"/>
        <v xml:space="preserve"> </v>
      </c>
      <c r="P1893" s="60">
        <f t="shared" si="303"/>
        <v>0</v>
      </c>
    </row>
    <row r="1894" spans="1:16" ht="15" customHeight="1">
      <c r="A1894" s="28">
        <v>0</v>
      </c>
      <c r="B1894" s="28" t="s">
        <v>1053</v>
      </c>
      <c r="C1894" s="129" t="s">
        <v>1050</v>
      </c>
      <c r="D1894" s="128">
        <v>0</v>
      </c>
      <c r="E1894" s="128" t="s">
        <v>1050</v>
      </c>
      <c r="F1894" s="29" t="s">
        <v>1050</v>
      </c>
      <c r="G1894" s="56" t="str">
        <f t="shared" ca="1" si="304"/>
        <v/>
      </c>
      <c r="H1894" s="28" t="str">
        <f t="shared" ca="1" si="296"/>
        <v/>
      </c>
      <c r="J1894" s="38" t="str">
        <f t="shared" si="297"/>
        <v xml:space="preserve"> </v>
      </c>
      <c r="K1894" s="39">
        <f t="shared" si="298"/>
        <v>0</v>
      </c>
      <c r="L1894" s="39" t="str">
        <f t="shared" si="299"/>
        <v/>
      </c>
      <c r="M1894" s="40" t="str">
        <f t="shared" si="300"/>
        <v xml:space="preserve"> </v>
      </c>
      <c r="N1894" s="41" t="str">
        <f t="shared" ca="1" si="301"/>
        <v/>
      </c>
      <c r="O1894" s="41" t="str">
        <f t="shared" si="302"/>
        <v xml:space="preserve"> </v>
      </c>
      <c r="P1894" s="60">
        <f t="shared" si="303"/>
        <v>0</v>
      </c>
    </row>
    <row r="1895" spans="1:16" ht="15" customHeight="1">
      <c r="A1895" s="28">
        <v>0</v>
      </c>
      <c r="B1895" s="28" t="s">
        <v>1053</v>
      </c>
      <c r="C1895" s="129" t="s">
        <v>1050</v>
      </c>
      <c r="D1895" s="128">
        <v>0</v>
      </c>
      <c r="E1895" s="128" t="s">
        <v>1050</v>
      </c>
      <c r="F1895" s="29" t="s">
        <v>1050</v>
      </c>
      <c r="G1895" s="56" t="str">
        <f t="shared" ca="1" si="304"/>
        <v/>
      </c>
      <c r="H1895" s="28" t="str">
        <f t="shared" ref="H1895:H1958" ca="1" si="305">IFERROR(IF($A1895&gt;0,ROUNDDOWN(INT(TODAY()-F1895)/365.25,0),""),"")</f>
        <v/>
      </c>
      <c r="J1895" s="38" t="str">
        <f t="shared" ref="J1895:J1958" si="306">C1895</f>
        <v xml:space="preserve"> </v>
      </c>
      <c r="K1895" s="39">
        <f t="shared" ref="K1895:K1958" si="307">A1895</f>
        <v>0</v>
      </c>
      <c r="L1895" s="39" t="str">
        <f t="shared" ref="L1895:L1958" si="308">B1895</f>
        <v/>
      </c>
      <c r="M1895" s="40" t="str">
        <f t="shared" ref="M1895:M1958" si="309">F1895</f>
        <v xml:space="preserve"> </v>
      </c>
      <c r="N1895" s="41" t="str">
        <f t="shared" ref="N1895:N1958" ca="1" si="310">G1895</f>
        <v/>
      </c>
      <c r="O1895" s="41" t="str">
        <f t="shared" ref="O1895:O1958" si="311">E1895</f>
        <v xml:space="preserve"> </v>
      </c>
      <c r="P1895" s="60">
        <f t="shared" ref="P1895:P1958" si="312">D1895</f>
        <v>0</v>
      </c>
    </row>
    <row r="1896" spans="1:16" ht="15" customHeight="1">
      <c r="A1896" s="28">
        <v>0</v>
      </c>
      <c r="B1896" s="28" t="s">
        <v>1053</v>
      </c>
      <c r="C1896" s="129" t="s">
        <v>1050</v>
      </c>
      <c r="D1896" s="128">
        <v>0</v>
      </c>
      <c r="E1896" s="128" t="s">
        <v>1050</v>
      </c>
      <c r="F1896" s="29" t="s">
        <v>1050</v>
      </c>
      <c r="G1896" s="56" t="str">
        <f t="shared" ca="1" si="304"/>
        <v/>
      </c>
      <c r="H1896" s="28" t="str">
        <f t="shared" ca="1" si="305"/>
        <v/>
      </c>
      <c r="J1896" s="38" t="str">
        <f t="shared" si="306"/>
        <v xml:space="preserve"> </v>
      </c>
      <c r="K1896" s="39">
        <f t="shared" si="307"/>
        <v>0</v>
      </c>
      <c r="L1896" s="39" t="str">
        <f t="shared" si="308"/>
        <v/>
      </c>
      <c r="M1896" s="40" t="str">
        <f t="shared" si="309"/>
        <v xml:space="preserve"> </v>
      </c>
      <c r="N1896" s="41" t="str">
        <f t="shared" ca="1" si="310"/>
        <v/>
      </c>
      <c r="O1896" s="41" t="str">
        <f t="shared" si="311"/>
        <v xml:space="preserve"> </v>
      </c>
      <c r="P1896" s="60">
        <f t="shared" si="312"/>
        <v>0</v>
      </c>
    </row>
    <row r="1897" spans="1:16" ht="15" customHeight="1">
      <c r="A1897" s="28">
        <v>0</v>
      </c>
      <c r="B1897" s="28" t="s">
        <v>1053</v>
      </c>
      <c r="C1897" s="129" t="s">
        <v>1050</v>
      </c>
      <c r="D1897" s="128">
        <v>0</v>
      </c>
      <c r="E1897" s="128" t="s">
        <v>1050</v>
      </c>
      <c r="F1897" s="29" t="s">
        <v>1050</v>
      </c>
      <c r="G1897" s="56" t="str">
        <f t="shared" ca="1" si="304"/>
        <v/>
      </c>
      <c r="H1897" s="28" t="str">
        <f t="shared" ca="1" si="305"/>
        <v/>
      </c>
      <c r="J1897" s="38" t="str">
        <f t="shared" si="306"/>
        <v xml:space="preserve"> </v>
      </c>
      <c r="K1897" s="39">
        <f t="shared" si="307"/>
        <v>0</v>
      </c>
      <c r="L1897" s="39" t="str">
        <f t="shared" si="308"/>
        <v/>
      </c>
      <c r="M1897" s="40" t="str">
        <f t="shared" si="309"/>
        <v xml:space="preserve"> </v>
      </c>
      <c r="N1897" s="41" t="str">
        <f t="shared" ca="1" si="310"/>
        <v/>
      </c>
      <c r="O1897" s="41" t="str">
        <f t="shared" si="311"/>
        <v xml:space="preserve"> </v>
      </c>
      <c r="P1897" s="60">
        <f t="shared" si="312"/>
        <v>0</v>
      </c>
    </row>
    <row r="1898" spans="1:16" ht="15" customHeight="1">
      <c r="A1898" s="28">
        <v>0</v>
      </c>
      <c r="B1898" s="28" t="s">
        <v>1053</v>
      </c>
      <c r="C1898" s="129" t="s">
        <v>1050</v>
      </c>
      <c r="D1898" s="128">
        <v>0</v>
      </c>
      <c r="E1898" s="128" t="s">
        <v>1050</v>
      </c>
      <c r="F1898" s="29" t="s">
        <v>1050</v>
      </c>
      <c r="G1898" s="56" t="str">
        <f t="shared" ca="1" si="304"/>
        <v/>
      </c>
      <c r="H1898" s="28" t="str">
        <f t="shared" ca="1" si="305"/>
        <v/>
      </c>
      <c r="J1898" s="38" t="str">
        <f t="shared" si="306"/>
        <v xml:space="preserve"> </v>
      </c>
      <c r="K1898" s="39">
        <f t="shared" si="307"/>
        <v>0</v>
      </c>
      <c r="L1898" s="39" t="str">
        <f t="shared" si="308"/>
        <v/>
      </c>
      <c r="M1898" s="40" t="str">
        <f t="shared" si="309"/>
        <v xml:space="preserve"> </v>
      </c>
      <c r="N1898" s="41" t="str">
        <f t="shared" ca="1" si="310"/>
        <v/>
      </c>
      <c r="O1898" s="41" t="str">
        <f t="shared" si="311"/>
        <v xml:space="preserve"> </v>
      </c>
      <c r="P1898" s="60">
        <f t="shared" si="312"/>
        <v>0</v>
      </c>
    </row>
    <row r="1899" spans="1:16" ht="15" customHeight="1">
      <c r="A1899" s="28">
        <v>0</v>
      </c>
      <c r="B1899" s="28" t="s">
        <v>1053</v>
      </c>
      <c r="C1899" s="129" t="s">
        <v>1050</v>
      </c>
      <c r="D1899" s="128">
        <v>0</v>
      </c>
      <c r="E1899" s="128" t="s">
        <v>1050</v>
      </c>
      <c r="F1899" s="29" t="s">
        <v>1050</v>
      </c>
      <c r="G1899" s="56" t="str">
        <f t="shared" ca="1" si="304"/>
        <v/>
      </c>
      <c r="H1899" s="28" t="str">
        <f t="shared" ca="1" si="305"/>
        <v/>
      </c>
      <c r="J1899" s="38" t="str">
        <f t="shared" si="306"/>
        <v xml:space="preserve"> </v>
      </c>
      <c r="K1899" s="39">
        <f t="shared" si="307"/>
        <v>0</v>
      </c>
      <c r="L1899" s="39" t="str">
        <f t="shared" si="308"/>
        <v/>
      </c>
      <c r="M1899" s="40" t="str">
        <f t="shared" si="309"/>
        <v xml:space="preserve"> </v>
      </c>
      <c r="N1899" s="41" t="str">
        <f t="shared" ca="1" si="310"/>
        <v/>
      </c>
      <c r="O1899" s="41" t="str">
        <f t="shared" si="311"/>
        <v xml:space="preserve"> </v>
      </c>
      <c r="P1899" s="60">
        <f t="shared" si="312"/>
        <v>0</v>
      </c>
    </row>
    <row r="1900" spans="1:16" ht="15" customHeight="1">
      <c r="A1900" s="28">
        <v>0</v>
      </c>
      <c r="B1900" s="28" t="s">
        <v>1053</v>
      </c>
      <c r="C1900" s="129" t="s">
        <v>1050</v>
      </c>
      <c r="D1900" s="128">
        <v>0</v>
      </c>
      <c r="E1900" s="128" t="s">
        <v>1050</v>
      </c>
      <c r="F1900" s="29" t="s">
        <v>1050</v>
      </c>
      <c r="G1900" s="56" t="str">
        <f t="shared" ca="1" si="304"/>
        <v/>
      </c>
      <c r="H1900" s="28" t="str">
        <f t="shared" ca="1" si="305"/>
        <v/>
      </c>
      <c r="J1900" s="38" t="str">
        <f t="shared" si="306"/>
        <v xml:space="preserve"> </v>
      </c>
      <c r="K1900" s="39">
        <f t="shared" si="307"/>
        <v>0</v>
      </c>
      <c r="L1900" s="39" t="str">
        <f t="shared" si="308"/>
        <v/>
      </c>
      <c r="M1900" s="40" t="str">
        <f t="shared" si="309"/>
        <v xml:space="preserve"> </v>
      </c>
      <c r="N1900" s="41" t="str">
        <f t="shared" ca="1" si="310"/>
        <v/>
      </c>
      <c r="O1900" s="41" t="str">
        <f t="shared" si="311"/>
        <v xml:space="preserve"> </v>
      </c>
      <c r="P1900" s="60">
        <f t="shared" si="312"/>
        <v>0</v>
      </c>
    </row>
    <row r="1901" spans="1:16" ht="15" customHeight="1">
      <c r="A1901" s="28">
        <v>0</v>
      </c>
      <c r="B1901" s="28" t="s">
        <v>1053</v>
      </c>
      <c r="C1901" s="129" t="s">
        <v>1050</v>
      </c>
      <c r="D1901" s="128">
        <v>0</v>
      </c>
      <c r="E1901" s="128" t="s">
        <v>1050</v>
      </c>
      <c r="F1901" s="29" t="s">
        <v>1050</v>
      </c>
      <c r="G1901" s="56" t="str">
        <f t="shared" ca="1" si="304"/>
        <v/>
      </c>
      <c r="H1901" s="28" t="str">
        <f t="shared" ca="1" si="305"/>
        <v/>
      </c>
      <c r="J1901" s="38" t="str">
        <f t="shared" si="306"/>
        <v xml:space="preserve"> </v>
      </c>
      <c r="K1901" s="39">
        <f t="shared" si="307"/>
        <v>0</v>
      </c>
      <c r="L1901" s="39" t="str">
        <f t="shared" si="308"/>
        <v/>
      </c>
      <c r="M1901" s="40" t="str">
        <f t="shared" si="309"/>
        <v xml:space="preserve"> </v>
      </c>
      <c r="N1901" s="41" t="str">
        <f t="shared" ca="1" si="310"/>
        <v/>
      </c>
      <c r="O1901" s="41" t="str">
        <f t="shared" si="311"/>
        <v xml:space="preserve"> </v>
      </c>
      <c r="P1901" s="60">
        <f t="shared" si="312"/>
        <v>0</v>
      </c>
    </row>
    <row r="1902" spans="1:16" ht="15" customHeight="1">
      <c r="A1902" s="28">
        <v>0</v>
      </c>
      <c r="B1902" s="28" t="s">
        <v>1053</v>
      </c>
      <c r="C1902" s="129" t="s">
        <v>1050</v>
      </c>
      <c r="D1902" s="128">
        <v>0</v>
      </c>
      <c r="E1902" s="128" t="s">
        <v>1050</v>
      </c>
      <c r="F1902" s="29" t="s">
        <v>1050</v>
      </c>
      <c r="G1902" s="56" t="str">
        <f t="shared" ca="1" si="304"/>
        <v/>
      </c>
      <c r="H1902" s="28" t="str">
        <f t="shared" ca="1" si="305"/>
        <v/>
      </c>
      <c r="J1902" s="38" t="str">
        <f t="shared" si="306"/>
        <v xml:space="preserve"> </v>
      </c>
      <c r="K1902" s="39">
        <f t="shared" si="307"/>
        <v>0</v>
      </c>
      <c r="L1902" s="39" t="str">
        <f t="shared" si="308"/>
        <v/>
      </c>
      <c r="M1902" s="40" t="str">
        <f t="shared" si="309"/>
        <v xml:space="preserve"> </v>
      </c>
      <c r="N1902" s="41" t="str">
        <f t="shared" ca="1" si="310"/>
        <v/>
      </c>
      <c r="O1902" s="41" t="str">
        <f t="shared" si="311"/>
        <v xml:space="preserve"> </v>
      </c>
      <c r="P1902" s="60">
        <f t="shared" si="312"/>
        <v>0</v>
      </c>
    </row>
    <row r="1903" spans="1:16" ht="15" customHeight="1">
      <c r="A1903" s="28">
        <v>0</v>
      </c>
      <c r="B1903" s="28" t="s">
        <v>1053</v>
      </c>
      <c r="C1903" s="129" t="s">
        <v>1050</v>
      </c>
      <c r="D1903" s="128">
        <v>0</v>
      </c>
      <c r="E1903" s="128" t="s">
        <v>1050</v>
      </c>
      <c r="F1903" s="29" t="s">
        <v>1050</v>
      </c>
      <c r="G1903" s="56" t="str">
        <f t="shared" ca="1" si="304"/>
        <v/>
      </c>
      <c r="H1903" s="28" t="str">
        <f t="shared" ca="1" si="305"/>
        <v/>
      </c>
      <c r="J1903" s="38" t="str">
        <f t="shared" si="306"/>
        <v xml:space="preserve"> </v>
      </c>
      <c r="K1903" s="39">
        <f t="shared" si="307"/>
        <v>0</v>
      </c>
      <c r="L1903" s="39" t="str">
        <f t="shared" si="308"/>
        <v/>
      </c>
      <c r="M1903" s="40" t="str">
        <f t="shared" si="309"/>
        <v xml:space="preserve"> </v>
      </c>
      <c r="N1903" s="41" t="str">
        <f t="shared" ca="1" si="310"/>
        <v/>
      </c>
      <c r="O1903" s="41" t="str">
        <f t="shared" si="311"/>
        <v xml:space="preserve"> </v>
      </c>
      <c r="P1903" s="60">
        <f t="shared" si="312"/>
        <v>0</v>
      </c>
    </row>
    <row r="1904" spans="1:16" ht="15" customHeight="1">
      <c r="A1904" s="28">
        <v>0</v>
      </c>
      <c r="B1904" s="28" t="s">
        <v>1053</v>
      </c>
      <c r="C1904" s="129" t="s">
        <v>1050</v>
      </c>
      <c r="D1904" s="128">
        <v>0</v>
      </c>
      <c r="E1904" s="128" t="s">
        <v>1050</v>
      </c>
      <c r="F1904" s="29" t="s">
        <v>1050</v>
      </c>
      <c r="G1904" s="56" t="str">
        <f t="shared" ca="1" si="304"/>
        <v/>
      </c>
      <c r="H1904" s="28" t="str">
        <f t="shared" ca="1" si="305"/>
        <v/>
      </c>
      <c r="J1904" s="38" t="str">
        <f t="shared" si="306"/>
        <v xml:space="preserve"> </v>
      </c>
      <c r="K1904" s="39">
        <f t="shared" si="307"/>
        <v>0</v>
      </c>
      <c r="L1904" s="39" t="str">
        <f t="shared" si="308"/>
        <v/>
      </c>
      <c r="M1904" s="40" t="str">
        <f t="shared" si="309"/>
        <v xml:space="preserve"> </v>
      </c>
      <c r="N1904" s="41" t="str">
        <f t="shared" ca="1" si="310"/>
        <v/>
      </c>
      <c r="O1904" s="41" t="str">
        <f t="shared" si="311"/>
        <v xml:space="preserve"> </v>
      </c>
      <c r="P1904" s="60">
        <f t="shared" si="312"/>
        <v>0</v>
      </c>
    </row>
    <row r="1905" spans="1:16" ht="15" customHeight="1">
      <c r="A1905" s="28">
        <v>0</v>
      </c>
      <c r="B1905" s="28" t="s">
        <v>1053</v>
      </c>
      <c r="C1905" s="129" t="s">
        <v>1050</v>
      </c>
      <c r="D1905" s="128">
        <v>0</v>
      </c>
      <c r="E1905" s="128" t="s">
        <v>1050</v>
      </c>
      <c r="F1905" s="29" t="s">
        <v>1050</v>
      </c>
      <c r="G1905" s="56" t="str">
        <f t="shared" ca="1" si="304"/>
        <v/>
      </c>
      <c r="H1905" s="28" t="str">
        <f t="shared" ca="1" si="305"/>
        <v/>
      </c>
      <c r="J1905" s="38" t="str">
        <f t="shared" si="306"/>
        <v xml:space="preserve"> </v>
      </c>
      <c r="K1905" s="39">
        <f t="shared" si="307"/>
        <v>0</v>
      </c>
      <c r="L1905" s="39" t="str">
        <f t="shared" si="308"/>
        <v/>
      </c>
      <c r="M1905" s="40" t="str">
        <f t="shared" si="309"/>
        <v xml:space="preserve"> </v>
      </c>
      <c r="N1905" s="41" t="str">
        <f t="shared" ca="1" si="310"/>
        <v/>
      </c>
      <c r="O1905" s="41" t="str">
        <f t="shared" si="311"/>
        <v xml:space="preserve"> </v>
      </c>
      <c r="P1905" s="60">
        <f t="shared" si="312"/>
        <v>0</v>
      </c>
    </row>
    <row r="1906" spans="1:16" ht="15" customHeight="1">
      <c r="A1906" s="28">
        <v>0</v>
      </c>
      <c r="B1906" s="28" t="s">
        <v>1053</v>
      </c>
      <c r="C1906" s="129" t="s">
        <v>1050</v>
      </c>
      <c r="D1906" s="128">
        <v>0</v>
      </c>
      <c r="E1906" s="128" t="s">
        <v>1050</v>
      </c>
      <c r="F1906" s="29" t="s">
        <v>1050</v>
      </c>
      <c r="G1906" s="56" t="str">
        <f t="shared" ca="1" si="304"/>
        <v/>
      </c>
      <c r="H1906" s="28" t="str">
        <f t="shared" ca="1" si="305"/>
        <v/>
      </c>
      <c r="J1906" s="38" t="str">
        <f t="shared" si="306"/>
        <v xml:space="preserve"> </v>
      </c>
      <c r="K1906" s="39">
        <f t="shared" si="307"/>
        <v>0</v>
      </c>
      <c r="L1906" s="39" t="str">
        <f t="shared" si="308"/>
        <v/>
      </c>
      <c r="M1906" s="40" t="str">
        <f t="shared" si="309"/>
        <v xml:space="preserve"> </v>
      </c>
      <c r="N1906" s="41" t="str">
        <f t="shared" ca="1" si="310"/>
        <v/>
      </c>
      <c r="O1906" s="41" t="str">
        <f t="shared" si="311"/>
        <v xml:space="preserve"> </v>
      </c>
      <c r="P1906" s="60">
        <f t="shared" si="312"/>
        <v>0</v>
      </c>
    </row>
    <row r="1907" spans="1:16" ht="15" customHeight="1">
      <c r="A1907" s="28">
        <v>0</v>
      </c>
      <c r="B1907" s="28" t="s">
        <v>1053</v>
      </c>
      <c r="C1907" s="129" t="s">
        <v>1050</v>
      </c>
      <c r="D1907" s="128">
        <v>0</v>
      </c>
      <c r="E1907" s="128" t="s">
        <v>1050</v>
      </c>
      <c r="F1907" s="29" t="s">
        <v>1050</v>
      </c>
      <c r="G1907" s="56" t="str">
        <f t="shared" ca="1" si="304"/>
        <v/>
      </c>
      <c r="H1907" s="28" t="str">
        <f t="shared" ca="1" si="305"/>
        <v/>
      </c>
      <c r="J1907" s="38" t="str">
        <f t="shared" si="306"/>
        <v xml:space="preserve"> </v>
      </c>
      <c r="K1907" s="39">
        <f t="shared" si="307"/>
        <v>0</v>
      </c>
      <c r="L1907" s="39" t="str">
        <f t="shared" si="308"/>
        <v/>
      </c>
      <c r="M1907" s="40" t="str">
        <f t="shared" si="309"/>
        <v xml:space="preserve"> </v>
      </c>
      <c r="N1907" s="41" t="str">
        <f t="shared" ca="1" si="310"/>
        <v/>
      </c>
      <c r="O1907" s="41" t="str">
        <f t="shared" si="311"/>
        <v xml:space="preserve"> </v>
      </c>
      <c r="P1907" s="60">
        <f t="shared" si="312"/>
        <v>0</v>
      </c>
    </row>
    <row r="1908" spans="1:16" ht="15" customHeight="1">
      <c r="A1908" s="28">
        <v>0</v>
      </c>
      <c r="B1908" s="28" t="s">
        <v>1053</v>
      </c>
      <c r="C1908" s="129" t="s">
        <v>1050</v>
      </c>
      <c r="D1908" s="128">
        <v>0</v>
      </c>
      <c r="E1908" s="128" t="s">
        <v>1050</v>
      </c>
      <c r="F1908" s="29" t="s">
        <v>1050</v>
      </c>
      <c r="G1908" s="56" t="str">
        <f t="shared" ca="1" si="304"/>
        <v/>
      </c>
      <c r="H1908" s="28" t="str">
        <f t="shared" ca="1" si="305"/>
        <v/>
      </c>
      <c r="J1908" s="38" t="str">
        <f t="shared" si="306"/>
        <v xml:space="preserve"> </v>
      </c>
      <c r="K1908" s="39">
        <f t="shared" si="307"/>
        <v>0</v>
      </c>
      <c r="L1908" s="39" t="str">
        <f t="shared" si="308"/>
        <v/>
      </c>
      <c r="M1908" s="40" t="str">
        <f t="shared" si="309"/>
        <v xml:space="preserve"> </v>
      </c>
      <c r="N1908" s="41" t="str">
        <f t="shared" ca="1" si="310"/>
        <v/>
      </c>
      <c r="O1908" s="41" t="str">
        <f t="shared" si="311"/>
        <v xml:space="preserve"> </v>
      </c>
      <c r="P1908" s="60">
        <f t="shared" si="312"/>
        <v>0</v>
      </c>
    </row>
    <row r="1909" spans="1:16" ht="15" customHeight="1">
      <c r="A1909" s="28">
        <v>0</v>
      </c>
      <c r="B1909" s="28" t="s">
        <v>1053</v>
      </c>
      <c r="C1909" s="129" t="s">
        <v>1050</v>
      </c>
      <c r="D1909" s="128">
        <v>0</v>
      </c>
      <c r="E1909" s="128" t="s">
        <v>1050</v>
      </c>
      <c r="F1909" s="29" t="s">
        <v>1050</v>
      </c>
      <c r="G1909" s="56" t="str">
        <f t="shared" ca="1" si="304"/>
        <v/>
      </c>
      <c r="H1909" s="28" t="str">
        <f t="shared" ca="1" si="305"/>
        <v/>
      </c>
      <c r="J1909" s="38" t="str">
        <f t="shared" si="306"/>
        <v xml:space="preserve"> </v>
      </c>
      <c r="K1909" s="39">
        <f t="shared" si="307"/>
        <v>0</v>
      </c>
      <c r="L1909" s="39" t="str">
        <f t="shared" si="308"/>
        <v/>
      </c>
      <c r="M1909" s="40" t="str">
        <f t="shared" si="309"/>
        <v xml:space="preserve"> </v>
      </c>
      <c r="N1909" s="41" t="str">
        <f t="shared" ca="1" si="310"/>
        <v/>
      </c>
      <c r="O1909" s="41" t="str">
        <f t="shared" si="311"/>
        <v xml:space="preserve"> </v>
      </c>
      <c r="P1909" s="60">
        <f t="shared" si="312"/>
        <v>0</v>
      </c>
    </row>
    <row r="1910" spans="1:16" ht="15" customHeight="1">
      <c r="A1910" s="28">
        <v>0</v>
      </c>
      <c r="B1910" s="28" t="s">
        <v>1053</v>
      </c>
      <c r="C1910" s="129" t="s">
        <v>1050</v>
      </c>
      <c r="D1910" s="128">
        <v>0</v>
      </c>
      <c r="E1910" s="128" t="s">
        <v>1050</v>
      </c>
      <c r="F1910" s="29" t="s">
        <v>1050</v>
      </c>
      <c r="G1910" s="56" t="str">
        <f t="shared" ca="1" si="304"/>
        <v/>
      </c>
      <c r="H1910" s="28" t="str">
        <f t="shared" ca="1" si="305"/>
        <v/>
      </c>
      <c r="J1910" s="38" t="str">
        <f t="shared" si="306"/>
        <v xml:space="preserve"> </v>
      </c>
      <c r="K1910" s="39">
        <f t="shared" si="307"/>
        <v>0</v>
      </c>
      <c r="L1910" s="39" t="str">
        <f t="shared" si="308"/>
        <v/>
      </c>
      <c r="M1910" s="40" t="str">
        <f t="shared" si="309"/>
        <v xml:space="preserve"> </v>
      </c>
      <c r="N1910" s="41" t="str">
        <f t="shared" ca="1" si="310"/>
        <v/>
      </c>
      <c r="O1910" s="41" t="str">
        <f t="shared" si="311"/>
        <v xml:space="preserve"> </v>
      </c>
      <c r="P1910" s="60">
        <f t="shared" si="312"/>
        <v>0</v>
      </c>
    </row>
    <row r="1911" spans="1:16" ht="15" customHeight="1">
      <c r="A1911" s="28">
        <v>0</v>
      </c>
      <c r="B1911" s="28" t="s">
        <v>1053</v>
      </c>
      <c r="C1911" s="129" t="s">
        <v>1050</v>
      </c>
      <c r="D1911" s="128">
        <v>0</v>
      </c>
      <c r="E1911" s="128" t="s">
        <v>1050</v>
      </c>
      <c r="F1911" s="29" t="s">
        <v>1050</v>
      </c>
      <c r="G1911" s="56" t="str">
        <f t="shared" ca="1" si="304"/>
        <v/>
      </c>
      <c r="H1911" s="28" t="str">
        <f t="shared" ca="1" si="305"/>
        <v/>
      </c>
      <c r="J1911" s="38" t="str">
        <f t="shared" si="306"/>
        <v xml:space="preserve"> </v>
      </c>
      <c r="K1911" s="39">
        <f t="shared" si="307"/>
        <v>0</v>
      </c>
      <c r="L1911" s="39" t="str">
        <f t="shared" si="308"/>
        <v/>
      </c>
      <c r="M1911" s="40" t="str">
        <f t="shared" si="309"/>
        <v xml:space="preserve"> </v>
      </c>
      <c r="N1911" s="41" t="str">
        <f t="shared" ca="1" si="310"/>
        <v/>
      </c>
      <c r="O1911" s="41" t="str">
        <f t="shared" si="311"/>
        <v xml:space="preserve"> </v>
      </c>
      <c r="P1911" s="60">
        <f t="shared" si="312"/>
        <v>0</v>
      </c>
    </row>
    <row r="1912" spans="1:16" ht="15" customHeight="1">
      <c r="A1912" s="28">
        <v>0</v>
      </c>
      <c r="B1912" s="28" t="s">
        <v>1053</v>
      </c>
      <c r="C1912" s="129" t="s">
        <v>1050</v>
      </c>
      <c r="D1912" s="128">
        <v>0</v>
      </c>
      <c r="E1912" s="128" t="s">
        <v>1050</v>
      </c>
      <c r="F1912" s="29" t="s">
        <v>1050</v>
      </c>
      <c r="G1912" s="56" t="str">
        <f t="shared" ca="1" si="304"/>
        <v/>
      </c>
      <c r="H1912" s="28" t="str">
        <f t="shared" ca="1" si="305"/>
        <v/>
      </c>
      <c r="J1912" s="38" t="str">
        <f t="shared" si="306"/>
        <v xml:space="preserve"> </v>
      </c>
      <c r="K1912" s="39">
        <f t="shared" si="307"/>
        <v>0</v>
      </c>
      <c r="L1912" s="39" t="str">
        <f t="shared" si="308"/>
        <v/>
      </c>
      <c r="M1912" s="40" t="str">
        <f t="shared" si="309"/>
        <v xml:space="preserve"> </v>
      </c>
      <c r="N1912" s="41" t="str">
        <f t="shared" ca="1" si="310"/>
        <v/>
      </c>
      <c r="O1912" s="41" t="str">
        <f t="shared" si="311"/>
        <v xml:space="preserve"> </v>
      </c>
      <c r="P1912" s="60">
        <f t="shared" si="312"/>
        <v>0</v>
      </c>
    </row>
    <row r="1913" spans="1:16" ht="15" customHeight="1">
      <c r="A1913" s="28">
        <v>0</v>
      </c>
      <c r="B1913" s="28" t="s">
        <v>1053</v>
      </c>
      <c r="C1913" s="129" t="s">
        <v>1050</v>
      </c>
      <c r="D1913" s="128">
        <v>0</v>
      </c>
      <c r="E1913" s="128" t="s">
        <v>1050</v>
      </c>
      <c r="F1913" s="29" t="s">
        <v>1050</v>
      </c>
      <c r="G1913" s="56" t="str">
        <f t="shared" ca="1" si="304"/>
        <v/>
      </c>
      <c r="H1913" s="28" t="str">
        <f t="shared" ca="1" si="305"/>
        <v/>
      </c>
      <c r="J1913" s="38" t="str">
        <f t="shared" si="306"/>
        <v xml:space="preserve"> </v>
      </c>
      <c r="K1913" s="39">
        <f t="shared" si="307"/>
        <v>0</v>
      </c>
      <c r="L1913" s="39" t="str">
        <f t="shared" si="308"/>
        <v/>
      </c>
      <c r="M1913" s="40" t="str">
        <f t="shared" si="309"/>
        <v xml:space="preserve"> </v>
      </c>
      <c r="N1913" s="41" t="str">
        <f t="shared" ca="1" si="310"/>
        <v/>
      </c>
      <c r="O1913" s="41" t="str">
        <f t="shared" si="311"/>
        <v xml:space="preserve"> </v>
      </c>
      <c r="P1913" s="60">
        <f t="shared" si="312"/>
        <v>0</v>
      </c>
    </row>
    <row r="1914" spans="1:16" ht="15" customHeight="1">
      <c r="A1914" s="28">
        <v>0</v>
      </c>
      <c r="B1914" s="28" t="s">
        <v>1053</v>
      </c>
      <c r="C1914" s="129" t="s">
        <v>1050</v>
      </c>
      <c r="D1914" s="128">
        <v>0</v>
      </c>
      <c r="E1914" s="128" t="s">
        <v>1050</v>
      </c>
      <c r="F1914" s="29" t="s">
        <v>1050</v>
      </c>
      <c r="G1914" s="56" t="str">
        <f t="shared" ca="1" si="304"/>
        <v/>
      </c>
      <c r="H1914" s="28" t="str">
        <f t="shared" ca="1" si="305"/>
        <v/>
      </c>
      <c r="J1914" s="38" t="str">
        <f t="shared" si="306"/>
        <v xml:space="preserve"> </v>
      </c>
      <c r="K1914" s="39">
        <f t="shared" si="307"/>
        <v>0</v>
      </c>
      <c r="L1914" s="39" t="str">
        <f t="shared" si="308"/>
        <v/>
      </c>
      <c r="M1914" s="40" t="str">
        <f t="shared" si="309"/>
        <v xml:space="preserve"> </v>
      </c>
      <c r="N1914" s="41" t="str">
        <f t="shared" ca="1" si="310"/>
        <v/>
      </c>
      <c r="O1914" s="41" t="str">
        <f t="shared" si="311"/>
        <v xml:space="preserve"> </v>
      </c>
      <c r="P1914" s="60">
        <f t="shared" si="312"/>
        <v>0</v>
      </c>
    </row>
    <row r="1915" spans="1:16" ht="15" customHeight="1">
      <c r="A1915" s="28">
        <v>0</v>
      </c>
      <c r="B1915" s="28" t="s">
        <v>1053</v>
      </c>
      <c r="C1915" s="129" t="s">
        <v>1050</v>
      </c>
      <c r="D1915" s="128">
        <v>0</v>
      </c>
      <c r="E1915" s="128" t="s">
        <v>1050</v>
      </c>
      <c r="F1915" s="29" t="s">
        <v>1050</v>
      </c>
      <c r="G1915" s="56" t="str">
        <f t="shared" ca="1" si="304"/>
        <v/>
      </c>
      <c r="H1915" s="28" t="str">
        <f t="shared" ca="1" si="305"/>
        <v/>
      </c>
      <c r="J1915" s="38" t="str">
        <f t="shared" si="306"/>
        <v xml:space="preserve"> </v>
      </c>
      <c r="K1915" s="39">
        <f t="shared" si="307"/>
        <v>0</v>
      </c>
      <c r="L1915" s="39" t="str">
        <f t="shared" si="308"/>
        <v/>
      </c>
      <c r="M1915" s="40" t="str">
        <f t="shared" si="309"/>
        <v xml:space="preserve"> </v>
      </c>
      <c r="N1915" s="41" t="str">
        <f t="shared" ca="1" si="310"/>
        <v/>
      </c>
      <c r="O1915" s="41" t="str">
        <f t="shared" si="311"/>
        <v xml:space="preserve"> </v>
      </c>
      <c r="P1915" s="60">
        <f t="shared" si="312"/>
        <v>0</v>
      </c>
    </row>
    <row r="1916" spans="1:16" ht="15" customHeight="1">
      <c r="A1916" s="28">
        <v>0</v>
      </c>
      <c r="B1916" s="28" t="s">
        <v>1053</v>
      </c>
      <c r="C1916" s="129" t="s">
        <v>1050</v>
      </c>
      <c r="D1916" s="128">
        <v>0</v>
      </c>
      <c r="E1916" s="128" t="s">
        <v>1050</v>
      </c>
      <c r="F1916" s="29" t="s">
        <v>1050</v>
      </c>
      <c r="G1916" s="56" t="str">
        <f t="shared" ca="1" si="304"/>
        <v/>
      </c>
      <c r="H1916" s="28" t="str">
        <f t="shared" ca="1" si="305"/>
        <v/>
      </c>
      <c r="J1916" s="38" t="str">
        <f t="shared" si="306"/>
        <v xml:space="preserve"> </v>
      </c>
      <c r="K1916" s="39">
        <f t="shared" si="307"/>
        <v>0</v>
      </c>
      <c r="L1916" s="39" t="str">
        <f t="shared" si="308"/>
        <v/>
      </c>
      <c r="M1916" s="40" t="str">
        <f t="shared" si="309"/>
        <v xml:space="preserve"> </v>
      </c>
      <c r="N1916" s="41" t="str">
        <f t="shared" ca="1" si="310"/>
        <v/>
      </c>
      <c r="O1916" s="41" t="str">
        <f t="shared" si="311"/>
        <v xml:space="preserve"> </v>
      </c>
      <c r="P1916" s="60">
        <f t="shared" si="312"/>
        <v>0</v>
      </c>
    </row>
    <row r="1917" spans="1:16" ht="15" customHeight="1">
      <c r="A1917" s="28">
        <v>0</v>
      </c>
      <c r="B1917" s="28" t="s">
        <v>1053</v>
      </c>
      <c r="C1917" s="129" t="s">
        <v>1050</v>
      </c>
      <c r="D1917" s="128">
        <v>0</v>
      </c>
      <c r="E1917" s="128" t="s">
        <v>1050</v>
      </c>
      <c r="F1917" s="29" t="s">
        <v>1050</v>
      </c>
      <c r="G1917" s="56" t="str">
        <f t="shared" ca="1" si="304"/>
        <v/>
      </c>
      <c r="H1917" s="28" t="str">
        <f t="shared" ca="1" si="305"/>
        <v/>
      </c>
      <c r="J1917" s="38" t="str">
        <f t="shared" si="306"/>
        <v xml:space="preserve"> </v>
      </c>
      <c r="K1917" s="39">
        <f t="shared" si="307"/>
        <v>0</v>
      </c>
      <c r="L1917" s="39" t="str">
        <f t="shared" si="308"/>
        <v/>
      </c>
      <c r="M1917" s="40" t="str">
        <f t="shared" si="309"/>
        <v xml:space="preserve"> </v>
      </c>
      <c r="N1917" s="41" t="str">
        <f t="shared" ca="1" si="310"/>
        <v/>
      </c>
      <c r="O1917" s="41" t="str">
        <f t="shared" si="311"/>
        <v xml:space="preserve"> </v>
      </c>
      <c r="P1917" s="60">
        <f t="shared" si="312"/>
        <v>0</v>
      </c>
    </row>
    <row r="1918" spans="1:16" ht="15" customHeight="1">
      <c r="A1918" s="28">
        <v>0</v>
      </c>
      <c r="B1918" s="28" t="s">
        <v>1053</v>
      </c>
      <c r="C1918" s="129" t="s">
        <v>1050</v>
      </c>
      <c r="D1918" s="128">
        <v>0</v>
      </c>
      <c r="E1918" s="128" t="s">
        <v>1050</v>
      </c>
      <c r="F1918" s="29" t="s">
        <v>1050</v>
      </c>
      <c r="G1918" s="56" t="str">
        <f t="shared" ca="1" si="304"/>
        <v/>
      </c>
      <c r="H1918" s="28" t="str">
        <f t="shared" ca="1" si="305"/>
        <v/>
      </c>
      <c r="J1918" s="38" t="str">
        <f t="shared" si="306"/>
        <v xml:space="preserve"> </v>
      </c>
      <c r="K1918" s="39">
        <f t="shared" si="307"/>
        <v>0</v>
      </c>
      <c r="L1918" s="39" t="str">
        <f t="shared" si="308"/>
        <v/>
      </c>
      <c r="M1918" s="40" t="str">
        <f t="shared" si="309"/>
        <v xml:space="preserve"> </v>
      </c>
      <c r="N1918" s="41" t="str">
        <f t="shared" ca="1" si="310"/>
        <v/>
      </c>
      <c r="O1918" s="41" t="str">
        <f t="shared" si="311"/>
        <v xml:space="preserve"> </v>
      </c>
      <c r="P1918" s="60">
        <f t="shared" si="312"/>
        <v>0</v>
      </c>
    </row>
    <row r="1919" spans="1:16" ht="15" customHeight="1">
      <c r="A1919" s="28">
        <v>0</v>
      </c>
      <c r="B1919" s="28" t="s">
        <v>1053</v>
      </c>
      <c r="C1919" s="129" t="s">
        <v>1050</v>
      </c>
      <c r="D1919" s="128">
        <v>0</v>
      </c>
      <c r="E1919" s="128" t="s">
        <v>1050</v>
      </c>
      <c r="F1919" s="29" t="s">
        <v>1050</v>
      </c>
      <c r="G1919" s="56" t="str">
        <f t="shared" ca="1" si="304"/>
        <v/>
      </c>
      <c r="H1919" s="28" t="str">
        <f t="shared" ca="1" si="305"/>
        <v/>
      </c>
      <c r="J1919" s="38" t="str">
        <f t="shared" si="306"/>
        <v xml:space="preserve"> </v>
      </c>
      <c r="K1919" s="39">
        <f t="shared" si="307"/>
        <v>0</v>
      </c>
      <c r="L1919" s="39" t="str">
        <f t="shared" si="308"/>
        <v/>
      </c>
      <c r="M1919" s="40" t="str">
        <f t="shared" si="309"/>
        <v xml:space="preserve"> </v>
      </c>
      <c r="N1919" s="41" t="str">
        <f t="shared" ca="1" si="310"/>
        <v/>
      </c>
      <c r="O1919" s="41" t="str">
        <f t="shared" si="311"/>
        <v xml:space="preserve"> </v>
      </c>
      <c r="P1919" s="60">
        <f t="shared" si="312"/>
        <v>0</v>
      </c>
    </row>
    <row r="1920" spans="1:16" ht="15" customHeight="1">
      <c r="A1920" s="28">
        <v>0</v>
      </c>
      <c r="B1920" s="28" t="s">
        <v>1053</v>
      </c>
      <c r="C1920" s="129" t="s">
        <v>1050</v>
      </c>
      <c r="D1920" s="128">
        <v>0</v>
      </c>
      <c r="E1920" s="128" t="s">
        <v>1050</v>
      </c>
      <c r="F1920" s="29" t="s">
        <v>1050</v>
      </c>
      <c r="G1920" s="56" t="str">
        <f t="shared" ca="1" si="304"/>
        <v/>
      </c>
      <c r="H1920" s="28" t="str">
        <f t="shared" ca="1" si="305"/>
        <v/>
      </c>
      <c r="J1920" s="38" t="str">
        <f t="shared" si="306"/>
        <v xml:space="preserve"> </v>
      </c>
      <c r="K1920" s="39">
        <f t="shared" si="307"/>
        <v>0</v>
      </c>
      <c r="L1920" s="39" t="str">
        <f t="shared" si="308"/>
        <v/>
      </c>
      <c r="M1920" s="40" t="str">
        <f t="shared" si="309"/>
        <v xml:space="preserve"> </v>
      </c>
      <c r="N1920" s="41" t="str">
        <f t="shared" ca="1" si="310"/>
        <v/>
      </c>
      <c r="O1920" s="41" t="str">
        <f t="shared" si="311"/>
        <v xml:space="preserve"> </v>
      </c>
      <c r="P1920" s="60">
        <f t="shared" si="312"/>
        <v>0</v>
      </c>
    </row>
    <row r="1921" spans="1:16" ht="15" customHeight="1">
      <c r="A1921" s="28">
        <v>0</v>
      </c>
      <c r="B1921" s="28" t="s">
        <v>1053</v>
      </c>
      <c r="C1921" s="129" t="s">
        <v>1050</v>
      </c>
      <c r="D1921" s="128">
        <v>0</v>
      </c>
      <c r="E1921" s="128" t="s">
        <v>1050</v>
      </c>
      <c r="F1921" s="29" t="s">
        <v>1050</v>
      </c>
      <c r="G1921" s="56" t="str">
        <f t="shared" ca="1" si="304"/>
        <v/>
      </c>
      <c r="H1921" s="28" t="str">
        <f t="shared" ca="1" si="305"/>
        <v/>
      </c>
      <c r="J1921" s="38" t="str">
        <f t="shared" si="306"/>
        <v xml:space="preserve"> </v>
      </c>
      <c r="K1921" s="39">
        <f t="shared" si="307"/>
        <v>0</v>
      </c>
      <c r="L1921" s="39" t="str">
        <f t="shared" si="308"/>
        <v/>
      </c>
      <c r="M1921" s="40" t="str">
        <f t="shared" si="309"/>
        <v xml:space="preserve"> </v>
      </c>
      <c r="N1921" s="41" t="str">
        <f t="shared" ca="1" si="310"/>
        <v/>
      </c>
      <c r="O1921" s="41" t="str">
        <f t="shared" si="311"/>
        <v xml:space="preserve"> </v>
      </c>
      <c r="P1921" s="60">
        <f t="shared" si="312"/>
        <v>0</v>
      </c>
    </row>
    <row r="1922" spans="1:16" ht="15" customHeight="1">
      <c r="A1922" s="28">
        <v>0</v>
      </c>
      <c r="B1922" s="28" t="s">
        <v>1053</v>
      </c>
      <c r="C1922" s="129" t="s">
        <v>1050</v>
      </c>
      <c r="D1922" s="128">
        <v>0</v>
      </c>
      <c r="E1922" s="128" t="s">
        <v>1050</v>
      </c>
      <c r="F1922" s="29" t="s">
        <v>1050</v>
      </c>
      <c r="G1922" s="56" t="str">
        <f t="shared" ca="1" si="304"/>
        <v/>
      </c>
      <c r="H1922" s="28" t="str">
        <f t="shared" ca="1" si="305"/>
        <v/>
      </c>
      <c r="J1922" s="38" t="str">
        <f t="shared" si="306"/>
        <v xml:space="preserve"> </v>
      </c>
      <c r="K1922" s="39">
        <f t="shared" si="307"/>
        <v>0</v>
      </c>
      <c r="L1922" s="39" t="str">
        <f t="shared" si="308"/>
        <v/>
      </c>
      <c r="M1922" s="40" t="str">
        <f t="shared" si="309"/>
        <v xml:space="preserve"> </v>
      </c>
      <c r="N1922" s="41" t="str">
        <f t="shared" ca="1" si="310"/>
        <v/>
      </c>
      <c r="O1922" s="41" t="str">
        <f t="shared" si="311"/>
        <v xml:space="preserve"> </v>
      </c>
      <c r="P1922" s="60">
        <f t="shared" si="312"/>
        <v>0</v>
      </c>
    </row>
    <row r="1923" spans="1:16" ht="15" customHeight="1">
      <c r="A1923" s="28">
        <v>0</v>
      </c>
      <c r="B1923" s="28" t="s">
        <v>1053</v>
      </c>
      <c r="C1923" s="129" t="s">
        <v>1050</v>
      </c>
      <c r="D1923" s="128">
        <v>0</v>
      </c>
      <c r="E1923" s="128" t="s">
        <v>1050</v>
      </c>
      <c r="F1923" s="29" t="s">
        <v>1050</v>
      </c>
      <c r="G1923" s="56" t="str">
        <f t="shared" ref="G1923:G1986" ca="1" si="313">IFERROR(IF(YEAR(TODAY())-YEAR(F1923)&lt;7," ",IF(YEAR(TODAY())-YEAR(F1923)&lt;10,"Benjamim A",IF(YEAR(TODAY())-YEAR(F1923)&lt;12,"Benjamim B",IF(YEAR(TODAY())-YEAR(F1923)&lt;14,"Infantil",IF(YEAR(TODAY())-YEAR(F1923)&lt;16,"Iniciado",IF(YEAR(TODAY())-YEAR(F1923)&lt;18,"Juvenil",IF(YEAR(TODAY())-YEAR(F1923)&lt;20,"Júnior",IF(YEAR(TODAY())-YEAR(F1923)&lt;23,"sub 23",IF(ROUNDDOWN(INT(TODAY()-F1923)/365.25,0)&lt;35,"Sénior",IF(ROUNDDOWN(INT(TODAY()-F1923)/365.25,0)&lt;40,"V 35",IF(ROUNDDOWN(INT(TODAY()-F1923)/365.25,0)&lt;45,"V 40",IF(ROUNDDOWN(INT(TODAY()-F1923)/365.25,0)&lt;50,"V 45",IF(ROUNDDOWN(INT(TODAY()-F1923)/365.25,0)&lt;55,"V 50",IF(ROUNDDOWN(INT(TODAY()-F1923)/365.25,0)&lt;60,"V 55",IF(ROUNDDOWN(INT(TODAY()-F1923)/365.25,0)&lt;65,"V 60",IF(ROUNDDOWN(INT(TODAY()-F1923)/365.25,0)&lt;70,"V 65",IF(ROUNDDOWN(INT(TODAY()-F1923)/365.25,0)&lt;75,"V 70",IF(ROUNDDOWN(INT(TODAY()-F1923)/365.25,0)&lt;80,"V 75",IF(ROUNDDOWN(INT(TODAY()-F1923)/365.25,0)&lt;85,"V 80",IF(ROUNDDOWN(INT(TODAY()-F1923)/365.25,0)&lt;90,"V 85",IF(ROUNDDOWN(INT(TODAY()-F1923)/365.25,0)&lt;95,"V 90",IF(ROUNDDOWN(INT(TODAY()-F1923)/365.25,0)&lt;100,"V 95",IF(ROUNDDOWN(INT(TODAY()-F1923)/365.25,0)&gt;=100,"V 100",""))))))))))))))))))))))),"")</f>
        <v/>
      </c>
      <c r="H1923" s="28" t="str">
        <f t="shared" ca="1" si="305"/>
        <v/>
      </c>
      <c r="J1923" s="38" t="str">
        <f t="shared" si="306"/>
        <v xml:space="preserve"> </v>
      </c>
      <c r="K1923" s="39">
        <f t="shared" si="307"/>
        <v>0</v>
      </c>
      <c r="L1923" s="39" t="str">
        <f t="shared" si="308"/>
        <v/>
      </c>
      <c r="M1923" s="40" t="str">
        <f t="shared" si="309"/>
        <v xml:space="preserve"> </v>
      </c>
      <c r="N1923" s="41" t="str">
        <f t="shared" ca="1" si="310"/>
        <v/>
      </c>
      <c r="O1923" s="41" t="str">
        <f t="shared" si="311"/>
        <v xml:space="preserve"> </v>
      </c>
      <c r="P1923" s="60">
        <f t="shared" si="312"/>
        <v>0</v>
      </c>
    </row>
    <row r="1924" spans="1:16" ht="15" customHeight="1">
      <c r="A1924" s="28">
        <v>0</v>
      </c>
      <c r="B1924" s="28" t="s">
        <v>1053</v>
      </c>
      <c r="C1924" s="129" t="s">
        <v>1050</v>
      </c>
      <c r="D1924" s="128">
        <v>0</v>
      </c>
      <c r="E1924" s="128" t="s">
        <v>1050</v>
      </c>
      <c r="F1924" s="29" t="s">
        <v>1050</v>
      </c>
      <c r="G1924" s="56" t="str">
        <f t="shared" ca="1" si="313"/>
        <v/>
      </c>
      <c r="H1924" s="28" t="str">
        <f t="shared" ca="1" si="305"/>
        <v/>
      </c>
      <c r="J1924" s="38" t="str">
        <f t="shared" si="306"/>
        <v xml:space="preserve"> </v>
      </c>
      <c r="K1924" s="39">
        <f t="shared" si="307"/>
        <v>0</v>
      </c>
      <c r="L1924" s="39" t="str">
        <f t="shared" si="308"/>
        <v/>
      </c>
      <c r="M1924" s="40" t="str">
        <f t="shared" si="309"/>
        <v xml:space="preserve"> </v>
      </c>
      <c r="N1924" s="41" t="str">
        <f t="shared" ca="1" si="310"/>
        <v/>
      </c>
      <c r="O1924" s="41" t="str">
        <f t="shared" si="311"/>
        <v xml:space="preserve"> </v>
      </c>
      <c r="P1924" s="60">
        <f t="shared" si="312"/>
        <v>0</v>
      </c>
    </row>
    <row r="1925" spans="1:16" ht="15" customHeight="1">
      <c r="A1925" s="28">
        <v>0</v>
      </c>
      <c r="B1925" s="28" t="s">
        <v>1053</v>
      </c>
      <c r="C1925" s="129" t="s">
        <v>1050</v>
      </c>
      <c r="D1925" s="128">
        <v>0</v>
      </c>
      <c r="E1925" s="128" t="s">
        <v>1050</v>
      </c>
      <c r="F1925" s="29" t="s">
        <v>1050</v>
      </c>
      <c r="G1925" s="56" t="str">
        <f t="shared" ca="1" si="313"/>
        <v/>
      </c>
      <c r="H1925" s="28" t="str">
        <f t="shared" ca="1" si="305"/>
        <v/>
      </c>
      <c r="J1925" s="38" t="str">
        <f t="shared" si="306"/>
        <v xml:space="preserve"> </v>
      </c>
      <c r="K1925" s="39">
        <f t="shared" si="307"/>
        <v>0</v>
      </c>
      <c r="L1925" s="39" t="str">
        <f t="shared" si="308"/>
        <v/>
      </c>
      <c r="M1925" s="40" t="str">
        <f t="shared" si="309"/>
        <v xml:space="preserve"> </v>
      </c>
      <c r="N1925" s="41" t="str">
        <f t="shared" ca="1" si="310"/>
        <v/>
      </c>
      <c r="O1925" s="41" t="str">
        <f t="shared" si="311"/>
        <v xml:space="preserve"> </v>
      </c>
      <c r="P1925" s="60">
        <f t="shared" si="312"/>
        <v>0</v>
      </c>
    </row>
    <row r="1926" spans="1:16" ht="15" customHeight="1">
      <c r="A1926" s="28">
        <v>0</v>
      </c>
      <c r="B1926" s="28" t="s">
        <v>1053</v>
      </c>
      <c r="C1926" s="129" t="s">
        <v>1050</v>
      </c>
      <c r="D1926" s="128">
        <v>0</v>
      </c>
      <c r="E1926" s="128" t="s">
        <v>1050</v>
      </c>
      <c r="F1926" s="29" t="s">
        <v>1050</v>
      </c>
      <c r="G1926" s="56" t="str">
        <f t="shared" ca="1" si="313"/>
        <v/>
      </c>
      <c r="H1926" s="28" t="str">
        <f t="shared" ca="1" si="305"/>
        <v/>
      </c>
      <c r="J1926" s="38" t="str">
        <f t="shared" si="306"/>
        <v xml:space="preserve"> </v>
      </c>
      <c r="K1926" s="39">
        <f t="shared" si="307"/>
        <v>0</v>
      </c>
      <c r="L1926" s="39" t="str">
        <f t="shared" si="308"/>
        <v/>
      </c>
      <c r="M1926" s="40" t="str">
        <f t="shared" si="309"/>
        <v xml:space="preserve"> </v>
      </c>
      <c r="N1926" s="41" t="str">
        <f t="shared" ca="1" si="310"/>
        <v/>
      </c>
      <c r="O1926" s="41" t="str">
        <f t="shared" si="311"/>
        <v xml:space="preserve"> </v>
      </c>
      <c r="P1926" s="60">
        <f t="shared" si="312"/>
        <v>0</v>
      </c>
    </row>
    <row r="1927" spans="1:16" ht="15" customHeight="1">
      <c r="A1927" s="28">
        <v>0</v>
      </c>
      <c r="B1927" s="28" t="s">
        <v>1053</v>
      </c>
      <c r="C1927" s="129" t="s">
        <v>1050</v>
      </c>
      <c r="D1927" s="128">
        <v>0</v>
      </c>
      <c r="E1927" s="128" t="s">
        <v>1050</v>
      </c>
      <c r="F1927" s="29" t="s">
        <v>1050</v>
      </c>
      <c r="G1927" s="56" t="str">
        <f t="shared" ca="1" si="313"/>
        <v/>
      </c>
      <c r="H1927" s="28" t="str">
        <f t="shared" ca="1" si="305"/>
        <v/>
      </c>
      <c r="J1927" s="38" t="str">
        <f t="shared" si="306"/>
        <v xml:space="preserve"> </v>
      </c>
      <c r="K1927" s="39">
        <f t="shared" si="307"/>
        <v>0</v>
      </c>
      <c r="L1927" s="39" t="str">
        <f t="shared" si="308"/>
        <v/>
      </c>
      <c r="M1927" s="40" t="str">
        <f t="shared" si="309"/>
        <v xml:space="preserve"> </v>
      </c>
      <c r="N1927" s="41" t="str">
        <f t="shared" ca="1" si="310"/>
        <v/>
      </c>
      <c r="O1927" s="41" t="str">
        <f t="shared" si="311"/>
        <v xml:space="preserve"> </v>
      </c>
      <c r="P1927" s="60">
        <f t="shared" si="312"/>
        <v>0</v>
      </c>
    </row>
    <row r="1928" spans="1:16" ht="15" customHeight="1">
      <c r="A1928" s="28">
        <v>0</v>
      </c>
      <c r="B1928" s="28" t="s">
        <v>1053</v>
      </c>
      <c r="C1928" s="129" t="s">
        <v>1050</v>
      </c>
      <c r="D1928" s="128">
        <v>0</v>
      </c>
      <c r="E1928" s="128" t="s">
        <v>1050</v>
      </c>
      <c r="F1928" s="29" t="s">
        <v>1050</v>
      </c>
      <c r="G1928" s="56" t="str">
        <f t="shared" ca="1" si="313"/>
        <v/>
      </c>
      <c r="H1928" s="28" t="str">
        <f t="shared" ca="1" si="305"/>
        <v/>
      </c>
      <c r="J1928" s="38" t="str">
        <f t="shared" si="306"/>
        <v xml:space="preserve"> </v>
      </c>
      <c r="K1928" s="39">
        <f t="shared" si="307"/>
        <v>0</v>
      </c>
      <c r="L1928" s="39" t="str">
        <f t="shared" si="308"/>
        <v/>
      </c>
      <c r="M1928" s="40" t="str">
        <f t="shared" si="309"/>
        <v xml:space="preserve"> </v>
      </c>
      <c r="N1928" s="41" t="str">
        <f t="shared" ca="1" si="310"/>
        <v/>
      </c>
      <c r="O1928" s="41" t="str">
        <f t="shared" si="311"/>
        <v xml:space="preserve"> </v>
      </c>
      <c r="P1928" s="60">
        <f t="shared" si="312"/>
        <v>0</v>
      </c>
    </row>
    <row r="1929" spans="1:16" ht="15" customHeight="1">
      <c r="A1929" s="28">
        <v>0</v>
      </c>
      <c r="B1929" s="28" t="s">
        <v>1053</v>
      </c>
      <c r="C1929" s="129" t="s">
        <v>1050</v>
      </c>
      <c r="D1929" s="128">
        <v>0</v>
      </c>
      <c r="E1929" s="128" t="s">
        <v>1050</v>
      </c>
      <c r="F1929" s="29" t="s">
        <v>1050</v>
      </c>
      <c r="G1929" s="56" t="str">
        <f t="shared" ca="1" si="313"/>
        <v/>
      </c>
      <c r="H1929" s="28" t="str">
        <f t="shared" ca="1" si="305"/>
        <v/>
      </c>
      <c r="J1929" s="38" t="str">
        <f t="shared" si="306"/>
        <v xml:space="preserve"> </v>
      </c>
      <c r="K1929" s="39">
        <f t="shared" si="307"/>
        <v>0</v>
      </c>
      <c r="L1929" s="39" t="str">
        <f t="shared" si="308"/>
        <v/>
      </c>
      <c r="M1929" s="40" t="str">
        <f t="shared" si="309"/>
        <v xml:space="preserve"> </v>
      </c>
      <c r="N1929" s="41" t="str">
        <f t="shared" ca="1" si="310"/>
        <v/>
      </c>
      <c r="O1929" s="41" t="str">
        <f t="shared" si="311"/>
        <v xml:space="preserve"> </v>
      </c>
      <c r="P1929" s="60">
        <f t="shared" si="312"/>
        <v>0</v>
      </c>
    </row>
    <row r="1930" spans="1:16" ht="15" customHeight="1">
      <c r="A1930" s="28">
        <v>0</v>
      </c>
      <c r="B1930" s="28" t="s">
        <v>1053</v>
      </c>
      <c r="C1930" s="129" t="s">
        <v>1050</v>
      </c>
      <c r="D1930" s="128">
        <v>0</v>
      </c>
      <c r="E1930" s="128" t="s">
        <v>1050</v>
      </c>
      <c r="F1930" s="29" t="s">
        <v>1050</v>
      </c>
      <c r="G1930" s="56" t="str">
        <f t="shared" ca="1" si="313"/>
        <v/>
      </c>
      <c r="H1930" s="28" t="str">
        <f t="shared" ca="1" si="305"/>
        <v/>
      </c>
      <c r="J1930" s="38" t="str">
        <f t="shared" si="306"/>
        <v xml:space="preserve"> </v>
      </c>
      <c r="K1930" s="39">
        <f t="shared" si="307"/>
        <v>0</v>
      </c>
      <c r="L1930" s="39" t="str">
        <f t="shared" si="308"/>
        <v/>
      </c>
      <c r="M1930" s="40" t="str">
        <f t="shared" si="309"/>
        <v xml:space="preserve"> </v>
      </c>
      <c r="N1930" s="41" t="str">
        <f t="shared" ca="1" si="310"/>
        <v/>
      </c>
      <c r="O1930" s="41" t="str">
        <f t="shared" si="311"/>
        <v xml:space="preserve"> </v>
      </c>
      <c r="P1930" s="60">
        <f t="shared" si="312"/>
        <v>0</v>
      </c>
    </row>
    <row r="1931" spans="1:16" ht="15" customHeight="1">
      <c r="A1931" s="28">
        <v>0</v>
      </c>
      <c r="B1931" s="28" t="s">
        <v>1053</v>
      </c>
      <c r="C1931" s="129" t="s">
        <v>1050</v>
      </c>
      <c r="D1931" s="128">
        <v>0</v>
      </c>
      <c r="E1931" s="128" t="s">
        <v>1050</v>
      </c>
      <c r="F1931" s="29" t="s">
        <v>1050</v>
      </c>
      <c r="G1931" s="56" t="str">
        <f t="shared" ca="1" si="313"/>
        <v/>
      </c>
      <c r="H1931" s="28" t="str">
        <f t="shared" ca="1" si="305"/>
        <v/>
      </c>
      <c r="J1931" s="38" t="str">
        <f t="shared" si="306"/>
        <v xml:space="preserve"> </v>
      </c>
      <c r="K1931" s="39">
        <f t="shared" si="307"/>
        <v>0</v>
      </c>
      <c r="L1931" s="39" t="str">
        <f t="shared" si="308"/>
        <v/>
      </c>
      <c r="M1931" s="40" t="str">
        <f t="shared" si="309"/>
        <v xml:space="preserve"> </v>
      </c>
      <c r="N1931" s="41" t="str">
        <f t="shared" ca="1" si="310"/>
        <v/>
      </c>
      <c r="O1931" s="41" t="str">
        <f t="shared" si="311"/>
        <v xml:space="preserve"> </v>
      </c>
      <c r="P1931" s="60">
        <f t="shared" si="312"/>
        <v>0</v>
      </c>
    </row>
    <row r="1932" spans="1:16" ht="15" customHeight="1">
      <c r="A1932" s="28">
        <v>0</v>
      </c>
      <c r="B1932" s="28" t="s">
        <v>1053</v>
      </c>
      <c r="C1932" s="129" t="s">
        <v>1050</v>
      </c>
      <c r="D1932" s="128">
        <v>0</v>
      </c>
      <c r="E1932" s="128" t="s">
        <v>1050</v>
      </c>
      <c r="F1932" s="29" t="s">
        <v>1050</v>
      </c>
      <c r="G1932" s="56" t="str">
        <f t="shared" ca="1" si="313"/>
        <v/>
      </c>
      <c r="H1932" s="28" t="str">
        <f t="shared" ca="1" si="305"/>
        <v/>
      </c>
      <c r="J1932" s="38" t="str">
        <f t="shared" si="306"/>
        <v xml:space="preserve"> </v>
      </c>
      <c r="K1932" s="39">
        <f t="shared" si="307"/>
        <v>0</v>
      </c>
      <c r="L1932" s="39" t="str">
        <f t="shared" si="308"/>
        <v/>
      </c>
      <c r="M1932" s="40" t="str">
        <f t="shared" si="309"/>
        <v xml:space="preserve"> </v>
      </c>
      <c r="N1932" s="41" t="str">
        <f t="shared" ca="1" si="310"/>
        <v/>
      </c>
      <c r="O1932" s="41" t="str">
        <f t="shared" si="311"/>
        <v xml:space="preserve"> </v>
      </c>
      <c r="P1932" s="60">
        <f t="shared" si="312"/>
        <v>0</v>
      </c>
    </row>
    <row r="1933" spans="1:16" ht="15" customHeight="1">
      <c r="A1933" s="28">
        <v>0</v>
      </c>
      <c r="B1933" s="28" t="s">
        <v>1053</v>
      </c>
      <c r="C1933" s="129" t="s">
        <v>1050</v>
      </c>
      <c r="D1933" s="128">
        <v>0</v>
      </c>
      <c r="E1933" s="128" t="s">
        <v>1050</v>
      </c>
      <c r="F1933" s="29" t="s">
        <v>1050</v>
      </c>
      <c r="G1933" s="56" t="str">
        <f t="shared" ca="1" si="313"/>
        <v/>
      </c>
      <c r="H1933" s="28" t="str">
        <f t="shared" ca="1" si="305"/>
        <v/>
      </c>
      <c r="J1933" s="38" t="str">
        <f t="shared" si="306"/>
        <v xml:space="preserve"> </v>
      </c>
      <c r="K1933" s="39">
        <f t="shared" si="307"/>
        <v>0</v>
      </c>
      <c r="L1933" s="39" t="str">
        <f t="shared" si="308"/>
        <v/>
      </c>
      <c r="M1933" s="40" t="str">
        <f t="shared" si="309"/>
        <v xml:space="preserve"> </v>
      </c>
      <c r="N1933" s="41" t="str">
        <f t="shared" ca="1" si="310"/>
        <v/>
      </c>
      <c r="O1933" s="41" t="str">
        <f t="shared" si="311"/>
        <v xml:space="preserve"> </v>
      </c>
      <c r="P1933" s="60">
        <f t="shared" si="312"/>
        <v>0</v>
      </c>
    </row>
    <row r="1934" spans="1:16" ht="15" customHeight="1">
      <c r="A1934" s="28">
        <v>0</v>
      </c>
      <c r="B1934" s="28" t="s">
        <v>1053</v>
      </c>
      <c r="C1934" s="129" t="s">
        <v>1050</v>
      </c>
      <c r="D1934" s="128">
        <v>0</v>
      </c>
      <c r="E1934" s="128" t="s">
        <v>1050</v>
      </c>
      <c r="F1934" s="29" t="s">
        <v>1050</v>
      </c>
      <c r="G1934" s="56" t="str">
        <f t="shared" ca="1" si="313"/>
        <v/>
      </c>
      <c r="H1934" s="28" t="str">
        <f t="shared" ca="1" si="305"/>
        <v/>
      </c>
      <c r="J1934" s="38" t="str">
        <f t="shared" si="306"/>
        <v xml:space="preserve"> </v>
      </c>
      <c r="K1934" s="39">
        <f t="shared" si="307"/>
        <v>0</v>
      </c>
      <c r="L1934" s="39" t="str">
        <f t="shared" si="308"/>
        <v/>
      </c>
      <c r="M1934" s="40" t="str">
        <f t="shared" si="309"/>
        <v xml:space="preserve"> </v>
      </c>
      <c r="N1934" s="41" t="str">
        <f t="shared" ca="1" si="310"/>
        <v/>
      </c>
      <c r="O1934" s="41" t="str">
        <f t="shared" si="311"/>
        <v xml:space="preserve"> </v>
      </c>
      <c r="P1934" s="60">
        <f t="shared" si="312"/>
        <v>0</v>
      </c>
    </row>
    <row r="1935" spans="1:16" ht="15" customHeight="1">
      <c r="A1935" s="28">
        <v>0</v>
      </c>
      <c r="B1935" s="28" t="s">
        <v>1053</v>
      </c>
      <c r="C1935" s="129" t="s">
        <v>1050</v>
      </c>
      <c r="D1935" s="128">
        <v>0</v>
      </c>
      <c r="E1935" s="128" t="s">
        <v>1050</v>
      </c>
      <c r="F1935" s="29" t="s">
        <v>1050</v>
      </c>
      <c r="G1935" s="56" t="str">
        <f t="shared" ca="1" si="313"/>
        <v/>
      </c>
      <c r="H1935" s="28" t="str">
        <f t="shared" ca="1" si="305"/>
        <v/>
      </c>
      <c r="J1935" s="38" t="str">
        <f t="shared" si="306"/>
        <v xml:space="preserve"> </v>
      </c>
      <c r="K1935" s="39">
        <f t="shared" si="307"/>
        <v>0</v>
      </c>
      <c r="L1935" s="39" t="str">
        <f t="shared" si="308"/>
        <v/>
      </c>
      <c r="M1935" s="40" t="str">
        <f t="shared" si="309"/>
        <v xml:space="preserve"> </v>
      </c>
      <c r="N1935" s="41" t="str">
        <f t="shared" ca="1" si="310"/>
        <v/>
      </c>
      <c r="O1935" s="41" t="str">
        <f t="shared" si="311"/>
        <v xml:space="preserve"> </v>
      </c>
      <c r="P1935" s="60">
        <f t="shared" si="312"/>
        <v>0</v>
      </c>
    </row>
    <row r="1936" spans="1:16" ht="15" customHeight="1">
      <c r="A1936" s="28">
        <v>0</v>
      </c>
      <c r="B1936" s="28" t="s">
        <v>1053</v>
      </c>
      <c r="C1936" s="129" t="s">
        <v>1050</v>
      </c>
      <c r="D1936" s="128">
        <v>0</v>
      </c>
      <c r="E1936" s="128" t="s">
        <v>1050</v>
      </c>
      <c r="F1936" s="29" t="s">
        <v>1050</v>
      </c>
      <c r="G1936" s="56" t="str">
        <f t="shared" ca="1" si="313"/>
        <v/>
      </c>
      <c r="H1936" s="28" t="str">
        <f t="shared" ca="1" si="305"/>
        <v/>
      </c>
      <c r="J1936" s="38" t="str">
        <f t="shared" si="306"/>
        <v xml:space="preserve"> </v>
      </c>
      <c r="K1936" s="39">
        <f t="shared" si="307"/>
        <v>0</v>
      </c>
      <c r="L1936" s="39" t="str">
        <f t="shared" si="308"/>
        <v/>
      </c>
      <c r="M1936" s="40" t="str">
        <f t="shared" si="309"/>
        <v xml:space="preserve"> </v>
      </c>
      <c r="N1936" s="41" t="str">
        <f t="shared" ca="1" si="310"/>
        <v/>
      </c>
      <c r="O1936" s="41" t="str">
        <f t="shared" si="311"/>
        <v xml:space="preserve"> </v>
      </c>
      <c r="P1936" s="60">
        <f t="shared" si="312"/>
        <v>0</v>
      </c>
    </row>
    <row r="1937" spans="1:16" ht="15" customHeight="1">
      <c r="A1937" s="28">
        <v>0</v>
      </c>
      <c r="B1937" s="28" t="s">
        <v>1053</v>
      </c>
      <c r="C1937" s="129" t="s">
        <v>1050</v>
      </c>
      <c r="D1937" s="128">
        <v>0</v>
      </c>
      <c r="E1937" s="128" t="s">
        <v>1050</v>
      </c>
      <c r="F1937" s="29" t="s">
        <v>1050</v>
      </c>
      <c r="G1937" s="56" t="str">
        <f t="shared" ca="1" si="313"/>
        <v/>
      </c>
      <c r="H1937" s="28" t="str">
        <f t="shared" ca="1" si="305"/>
        <v/>
      </c>
      <c r="J1937" s="38" t="str">
        <f t="shared" si="306"/>
        <v xml:space="preserve"> </v>
      </c>
      <c r="K1937" s="39">
        <f t="shared" si="307"/>
        <v>0</v>
      </c>
      <c r="L1937" s="39" t="str">
        <f t="shared" si="308"/>
        <v/>
      </c>
      <c r="M1937" s="40" t="str">
        <f t="shared" si="309"/>
        <v xml:space="preserve"> </v>
      </c>
      <c r="N1937" s="41" t="str">
        <f t="shared" ca="1" si="310"/>
        <v/>
      </c>
      <c r="O1937" s="41" t="str">
        <f t="shared" si="311"/>
        <v xml:space="preserve"> </v>
      </c>
      <c r="P1937" s="60">
        <f t="shared" si="312"/>
        <v>0</v>
      </c>
    </row>
    <row r="1938" spans="1:16" ht="15" customHeight="1">
      <c r="A1938" s="28">
        <v>0</v>
      </c>
      <c r="B1938" s="28" t="s">
        <v>1053</v>
      </c>
      <c r="C1938" s="129" t="s">
        <v>1050</v>
      </c>
      <c r="D1938" s="128">
        <v>0</v>
      </c>
      <c r="E1938" s="128" t="s">
        <v>1050</v>
      </c>
      <c r="F1938" s="29" t="s">
        <v>1050</v>
      </c>
      <c r="G1938" s="56" t="str">
        <f t="shared" ca="1" si="313"/>
        <v/>
      </c>
      <c r="H1938" s="28" t="str">
        <f t="shared" ca="1" si="305"/>
        <v/>
      </c>
      <c r="J1938" s="38" t="str">
        <f t="shared" si="306"/>
        <v xml:space="preserve"> </v>
      </c>
      <c r="K1938" s="39">
        <f t="shared" si="307"/>
        <v>0</v>
      </c>
      <c r="L1938" s="39" t="str">
        <f t="shared" si="308"/>
        <v/>
      </c>
      <c r="M1938" s="40" t="str">
        <f t="shared" si="309"/>
        <v xml:space="preserve"> </v>
      </c>
      <c r="N1938" s="41" t="str">
        <f t="shared" ca="1" si="310"/>
        <v/>
      </c>
      <c r="O1938" s="41" t="str">
        <f t="shared" si="311"/>
        <v xml:space="preserve"> </v>
      </c>
      <c r="P1938" s="60">
        <f t="shared" si="312"/>
        <v>0</v>
      </c>
    </row>
    <row r="1939" spans="1:16" ht="15" customHeight="1">
      <c r="A1939" s="28">
        <v>0</v>
      </c>
      <c r="B1939" s="28" t="s">
        <v>1053</v>
      </c>
      <c r="C1939" s="129" t="s">
        <v>1050</v>
      </c>
      <c r="D1939" s="128">
        <v>0</v>
      </c>
      <c r="E1939" s="128" t="s">
        <v>1050</v>
      </c>
      <c r="F1939" s="29" t="s">
        <v>1050</v>
      </c>
      <c r="G1939" s="56" t="str">
        <f t="shared" ca="1" si="313"/>
        <v/>
      </c>
      <c r="H1939" s="28" t="str">
        <f t="shared" ca="1" si="305"/>
        <v/>
      </c>
      <c r="J1939" s="38" t="str">
        <f t="shared" si="306"/>
        <v xml:space="preserve"> </v>
      </c>
      <c r="K1939" s="39">
        <f t="shared" si="307"/>
        <v>0</v>
      </c>
      <c r="L1939" s="39" t="str">
        <f t="shared" si="308"/>
        <v/>
      </c>
      <c r="M1939" s="40" t="str">
        <f t="shared" si="309"/>
        <v xml:space="preserve"> </v>
      </c>
      <c r="N1939" s="41" t="str">
        <f t="shared" ca="1" si="310"/>
        <v/>
      </c>
      <c r="O1939" s="41" t="str">
        <f t="shared" si="311"/>
        <v xml:space="preserve"> </v>
      </c>
      <c r="P1939" s="60">
        <f t="shared" si="312"/>
        <v>0</v>
      </c>
    </row>
    <row r="1940" spans="1:16" ht="15" customHeight="1">
      <c r="A1940" s="28">
        <v>0</v>
      </c>
      <c r="B1940" s="28" t="s">
        <v>1053</v>
      </c>
      <c r="C1940" s="129" t="s">
        <v>1050</v>
      </c>
      <c r="D1940" s="128">
        <v>0</v>
      </c>
      <c r="E1940" s="128" t="s">
        <v>1050</v>
      </c>
      <c r="F1940" s="29" t="s">
        <v>1050</v>
      </c>
      <c r="G1940" s="56" t="str">
        <f t="shared" ca="1" si="313"/>
        <v/>
      </c>
      <c r="H1940" s="28" t="str">
        <f t="shared" ca="1" si="305"/>
        <v/>
      </c>
      <c r="J1940" s="38" t="str">
        <f t="shared" si="306"/>
        <v xml:space="preserve"> </v>
      </c>
      <c r="K1940" s="39">
        <f t="shared" si="307"/>
        <v>0</v>
      </c>
      <c r="L1940" s="39" t="str">
        <f t="shared" si="308"/>
        <v/>
      </c>
      <c r="M1940" s="40" t="str">
        <f t="shared" si="309"/>
        <v xml:space="preserve"> </v>
      </c>
      <c r="N1940" s="41" t="str">
        <f t="shared" ca="1" si="310"/>
        <v/>
      </c>
      <c r="O1940" s="41" t="str">
        <f t="shared" si="311"/>
        <v xml:space="preserve"> </v>
      </c>
      <c r="P1940" s="60">
        <f t="shared" si="312"/>
        <v>0</v>
      </c>
    </row>
    <row r="1941" spans="1:16" ht="15" customHeight="1">
      <c r="A1941" s="28">
        <v>0</v>
      </c>
      <c r="B1941" s="28" t="s">
        <v>1053</v>
      </c>
      <c r="C1941" s="129" t="s">
        <v>1050</v>
      </c>
      <c r="D1941" s="128">
        <v>0</v>
      </c>
      <c r="E1941" s="128" t="s">
        <v>1050</v>
      </c>
      <c r="F1941" s="29" t="s">
        <v>1050</v>
      </c>
      <c r="G1941" s="56" t="str">
        <f t="shared" ca="1" si="313"/>
        <v/>
      </c>
      <c r="H1941" s="28" t="str">
        <f t="shared" ca="1" si="305"/>
        <v/>
      </c>
      <c r="J1941" s="38" t="str">
        <f t="shared" si="306"/>
        <v xml:space="preserve"> </v>
      </c>
      <c r="K1941" s="39">
        <f t="shared" si="307"/>
        <v>0</v>
      </c>
      <c r="L1941" s="39" t="str">
        <f t="shared" si="308"/>
        <v/>
      </c>
      <c r="M1941" s="40" t="str">
        <f t="shared" si="309"/>
        <v xml:space="preserve"> </v>
      </c>
      <c r="N1941" s="41" t="str">
        <f t="shared" ca="1" si="310"/>
        <v/>
      </c>
      <c r="O1941" s="41" t="str">
        <f t="shared" si="311"/>
        <v xml:space="preserve"> </v>
      </c>
      <c r="P1941" s="60">
        <f t="shared" si="312"/>
        <v>0</v>
      </c>
    </row>
    <row r="1942" spans="1:16" ht="15" customHeight="1">
      <c r="A1942" s="28">
        <v>0</v>
      </c>
      <c r="B1942" s="28" t="s">
        <v>1053</v>
      </c>
      <c r="C1942" s="129" t="s">
        <v>1050</v>
      </c>
      <c r="D1942" s="128">
        <v>0</v>
      </c>
      <c r="E1942" s="128" t="s">
        <v>1050</v>
      </c>
      <c r="F1942" s="29" t="s">
        <v>1050</v>
      </c>
      <c r="G1942" s="56" t="str">
        <f t="shared" ca="1" si="313"/>
        <v/>
      </c>
      <c r="H1942" s="28" t="str">
        <f t="shared" ca="1" si="305"/>
        <v/>
      </c>
      <c r="J1942" s="38" t="str">
        <f t="shared" si="306"/>
        <v xml:space="preserve"> </v>
      </c>
      <c r="K1942" s="39">
        <f t="shared" si="307"/>
        <v>0</v>
      </c>
      <c r="L1942" s="39" t="str">
        <f t="shared" si="308"/>
        <v/>
      </c>
      <c r="M1942" s="40" t="str">
        <f t="shared" si="309"/>
        <v xml:space="preserve"> </v>
      </c>
      <c r="N1942" s="41" t="str">
        <f t="shared" ca="1" si="310"/>
        <v/>
      </c>
      <c r="O1942" s="41" t="str">
        <f t="shared" si="311"/>
        <v xml:space="preserve"> </v>
      </c>
      <c r="P1942" s="60">
        <f t="shared" si="312"/>
        <v>0</v>
      </c>
    </row>
    <row r="1943" spans="1:16" ht="15" customHeight="1">
      <c r="A1943" s="28">
        <v>0</v>
      </c>
      <c r="B1943" s="28" t="s">
        <v>1053</v>
      </c>
      <c r="C1943" s="129" t="s">
        <v>1050</v>
      </c>
      <c r="D1943" s="128">
        <v>0</v>
      </c>
      <c r="E1943" s="128" t="s">
        <v>1050</v>
      </c>
      <c r="F1943" s="29" t="s">
        <v>1050</v>
      </c>
      <c r="G1943" s="56" t="str">
        <f t="shared" ca="1" si="313"/>
        <v/>
      </c>
      <c r="H1943" s="28" t="str">
        <f t="shared" ca="1" si="305"/>
        <v/>
      </c>
      <c r="J1943" s="38" t="str">
        <f t="shared" si="306"/>
        <v xml:space="preserve"> </v>
      </c>
      <c r="K1943" s="39">
        <f t="shared" si="307"/>
        <v>0</v>
      </c>
      <c r="L1943" s="39" t="str">
        <f t="shared" si="308"/>
        <v/>
      </c>
      <c r="M1943" s="40" t="str">
        <f t="shared" si="309"/>
        <v xml:space="preserve"> </v>
      </c>
      <c r="N1943" s="41" t="str">
        <f t="shared" ca="1" si="310"/>
        <v/>
      </c>
      <c r="O1943" s="41" t="str">
        <f t="shared" si="311"/>
        <v xml:space="preserve"> </v>
      </c>
      <c r="P1943" s="60">
        <f t="shared" si="312"/>
        <v>0</v>
      </c>
    </row>
    <row r="1944" spans="1:16" ht="15" customHeight="1">
      <c r="A1944" s="28">
        <v>0</v>
      </c>
      <c r="B1944" s="28" t="s">
        <v>1053</v>
      </c>
      <c r="C1944" s="129" t="s">
        <v>1050</v>
      </c>
      <c r="D1944" s="128">
        <v>0</v>
      </c>
      <c r="E1944" s="128" t="s">
        <v>1050</v>
      </c>
      <c r="F1944" s="29" t="s">
        <v>1050</v>
      </c>
      <c r="G1944" s="56" t="str">
        <f t="shared" ca="1" si="313"/>
        <v/>
      </c>
      <c r="H1944" s="28" t="str">
        <f t="shared" ca="1" si="305"/>
        <v/>
      </c>
      <c r="J1944" s="38" t="str">
        <f t="shared" si="306"/>
        <v xml:space="preserve"> </v>
      </c>
      <c r="K1944" s="39">
        <f t="shared" si="307"/>
        <v>0</v>
      </c>
      <c r="L1944" s="39" t="str">
        <f t="shared" si="308"/>
        <v/>
      </c>
      <c r="M1944" s="40" t="str">
        <f t="shared" si="309"/>
        <v xml:space="preserve"> </v>
      </c>
      <c r="N1944" s="41" t="str">
        <f t="shared" ca="1" si="310"/>
        <v/>
      </c>
      <c r="O1944" s="41" t="str">
        <f t="shared" si="311"/>
        <v xml:space="preserve"> </v>
      </c>
      <c r="P1944" s="60">
        <f t="shared" si="312"/>
        <v>0</v>
      </c>
    </row>
    <row r="1945" spans="1:16" ht="15" customHeight="1">
      <c r="A1945" s="28">
        <v>0</v>
      </c>
      <c r="B1945" s="28" t="s">
        <v>1053</v>
      </c>
      <c r="C1945" s="129" t="s">
        <v>1050</v>
      </c>
      <c r="D1945" s="128">
        <v>0</v>
      </c>
      <c r="E1945" s="128" t="s">
        <v>1050</v>
      </c>
      <c r="F1945" s="29" t="s">
        <v>1050</v>
      </c>
      <c r="G1945" s="56" t="str">
        <f t="shared" ca="1" si="313"/>
        <v/>
      </c>
      <c r="H1945" s="28" t="str">
        <f t="shared" ca="1" si="305"/>
        <v/>
      </c>
      <c r="J1945" s="38" t="str">
        <f t="shared" si="306"/>
        <v xml:space="preserve"> </v>
      </c>
      <c r="K1945" s="39">
        <f t="shared" si="307"/>
        <v>0</v>
      </c>
      <c r="L1945" s="39" t="str">
        <f t="shared" si="308"/>
        <v/>
      </c>
      <c r="M1945" s="40" t="str">
        <f t="shared" si="309"/>
        <v xml:space="preserve"> </v>
      </c>
      <c r="N1945" s="41" t="str">
        <f t="shared" ca="1" si="310"/>
        <v/>
      </c>
      <c r="O1945" s="41" t="str">
        <f t="shared" si="311"/>
        <v xml:space="preserve"> </v>
      </c>
      <c r="P1945" s="60">
        <f t="shared" si="312"/>
        <v>0</v>
      </c>
    </row>
    <row r="1946" spans="1:16" ht="15" customHeight="1">
      <c r="A1946" s="28">
        <v>0</v>
      </c>
      <c r="B1946" s="28" t="s">
        <v>1053</v>
      </c>
      <c r="C1946" s="129" t="s">
        <v>1050</v>
      </c>
      <c r="D1946" s="128">
        <v>0</v>
      </c>
      <c r="E1946" s="128" t="s">
        <v>1050</v>
      </c>
      <c r="F1946" s="29" t="s">
        <v>1050</v>
      </c>
      <c r="G1946" s="56" t="str">
        <f t="shared" ca="1" si="313"/>
        <v/>
      </c>
      <c r="H1946" s="28" t="str">
        <f t="shared" ca="1" si="305"/>
        <v/>
      </c>
      <c r="J1946" s="38" t="str">
        <f t="shared" si="306"/>
        <v xml:space="preserve"> </v>
      </c>
      <c r="K1946" s="39">
        <f t="shared" si="307"/>
        <v>0</v>
      </c>
      <c r="L1946" s="39" t="str">
        <f t="shared" si="308"/>
        <v/>
      </c>
      <c r="M1946" s="40" t="str">
        <f t="shared" si="309"/>
        <v xml:space="preserve"> </v>
      </c>
      <c r="N1946" s="41" t="str">
        <f t="shared" ca="1" si="310"/>
        <v/>
      </c>
      <c r="O1946" s="41" t="str">
        <f t="shared" si="311"/>
        <v xml:space="preserve"> </v>
      </c>
      <c r="P1946" s="60">
        <f t="shared" si="312"/>
        <v>0</v>
      </c>
    </row>
    <row r="1947" spans="1:16" ht="15" customHeight="1">
      <c r="A1947" s="28">
        <v>0</v>
      </c>
      <c r="B1947" s="28" t="s">
        <v>1053</v>
      </c>
      <c r="C1947" s="129" t="s">
        <v>1050</v>
      </c>
      <c r="D1947" s="128">
        <v>0</v>
      </c>
      <c r="E1947" s="128" t="s">
        <v>1050</v>
      </c>
      <c r="F1947" s="29" t="s">
        <v>1050</v>
      </c>
      <c r="G1947" s="56" t="str">
        <f t="shared" ca="1" si="313"/>
        <v/>
      </c>
      <c r="H1947" s="28" t="str">
        <f t="shared" ca="1" si="305"/>
        <v/>
      </c>
      <c r="J1947" s="38" t="str">
        <f t="shared" si="306"/>
        <v xml:space="preserve"> </v>
      </c>
      <c r="K1947" s="39">
        <f t="shared" si="307"/>
        <v>0</v>
      </c>
      <c r="L1947" s="39" t="str">
        <f t="shared" si="308"/>
        <v/>
      </c>
      <c r="M1947" s="40" t="str">
        <f t="shared" si="309"/>
        <v xml:space="preserve"> </v>
      </c>
      <c r="N1947" s="41" t="str">
        <f t="shared" ca="1" si="310"/>
        <v/>
      </c>
      <c r="O1947" s="41" t="str">
        <f t="shared" si="311"/>
        <v xml:space="preserve"> </v>
      </c>
      <c r="P1947" s="60">
        <f t="shared" si="312"/>
        <v>0</v>
      </c>
    </row>
    <row r="1948" spans="1:16" ht="15" customHeight="1">
      <c r="A1948" s="28">
        <v>0</v>
      </c>
      <c r="B1948" s="28" t="s">
        <v>1053</v>
      </c>
      <c r="C1948" s="129" t="s">
        <v>1050</v>
      </c>
      <c r="D1948" s="128">
        <v>0</v>
      </c>
      <c r="E1948" s="128" t="s">
        <v>1050</v>
      </c>
      <c r="F1948" s="29" t="s">
        <v>1050</v>
      </c>
      <c r="G1948" s="56" t="str">
        <f t="shared" ca="1" si="313"/>
        <v/>
      </c>
      <c r="H1948" s="28" t="str">
        <f t="shared" ca="1" si="305"/>
        <v/>
      </c>
      <c r="J1948" s="38" t="str">
        <f t="shared" si="306"/>
        <v xml:space="preserve"> </v>
      </c>
      <c r="K1948" s="39">
        <f t="shared" si="307"/>
        <v>0</v>
      </c>
      <c r="L1948" s="39" t="str">
        <f t="shared" si="308"/>
        <v/>
      </c>
      <c r="M1948" s="40" t="str">
        <f t="shared" si="309"/>
        <v xml:space="preserve"> </v>
      </c>
      <c r="N1948" s="41" t="str">
        <f t="shared" ca="1" si="310"/>
        <v/>
      </c>
      <c r="O1948" s="41" t="str">
        <f t="shared" si="311"/>
        <v xml:space="preserve"> </v>
      </c>
      <c r="P1948" s="60">
        <f t="shared" si="312"/>
        <v>0</v>
      </c>
    </row>
    <row r="1949" spans="1:16" ht="15" customHeight="1">
      <c r="A1949" s="28">
        <v>0</v>
      </c>
      <c r="B1949" s="28" t="s">
        <v>1053</v>
      </c>
      <c r="C1949" s="129" t="s">
        <v>1050</v>
      </c>
      <c r="D1949" s="128">
        <v>0</v>
      </c>
      <c r="E1949" s="128" t="s">
        <v>1050</v>
      </c>
      <c r="F1949" s="29" t="s">
        <v>1050</v>
      </c>
      <c r="G1949" s="56" t="str">
        <f t="shared" ca="1" si="313"/>
        <v/>
      </c>
      <c r="H1949" s="28" t="str">
        <f t="shared" ca="1" si="305"/>
        <v/>
      </c>
      <c r="J1949" s="38" t="str">
        <f t="shared" si="306"/>
        <v xml:space="preserve"> </v>
      </c>
      <c r="K1949" s="39">
        <f t="shared" si="307"/>
        <v>0</v>
      </c>
      <c r="L1949" s="39" t="str">
        <f t="shared" si="308"/>
        <v/>
      </c>
      <c r="M1949" s="40" t="str">
        <f t="shared" si="309"/>
        <v xml:space="preserve"> </v>
      </c>
      <c r="N1949" s="41" t="str">
        <f t="shared" ca="1" si="310"/>
        <v/>
      </c>
      <c r="O1949" s="41" t="str">
        <f t="shared" si="311"/>
        <v xml:space="preserve"> </v>
      </c>
      <c r="P1949" s="60">
        <f t="shared" si="312"/>
        <v>0</v>
      </c>
    </row>
    <row r="1950" spans="1:16" ht="15" customHeight="1">
      <c r="A1950" s="28">
        <v>0</v>
      </c>
      <c r="B1950" s="28" t="s">
        <v>1053</v>
      </c>
      <c r="C1950" s="129" t="s">
        <v>1050</v>
      </c>
      <c r="D1950" s="128">
        <v>0</v>
      </c>
      <c r="E1950" s="128" t="s">
        <v>1050</v>
      </c>
      <c r="F1950" s="29" t="s">
        <v>1050</v>
      </c>
      <c r="G1950" s="56" t="str">
        <f t="shared" ca="1" si="313"/>
        <v/>
      </c>
      <c r="H1950" s="28" t="str">
        <f t="shared" ca="1" si="305"/>
        <v/>
      </c>
      <c r="J1950" s="38" t="str">
        <f t="shared" si="306"/>
        <v xml:space="preserve"> </v>
      </c>
      <c r="K1950" s="39">
        <f t="shared" si="307"/>
        <v>0</v>
      </c>
      <c r="L1950" s="39" t="str">
        <f t="shared" si="308"/>
        <v/>
      </c>
      <c r="M1950" s="40" t="str">
        <f t="shared" si="309"/>
        <v xml:space="preserve"> </v>
      </c>
      <c r="N1950" s="41" t="str">
        <f t="shared" ca="1" si="310"/>
        <v/>
      </c>
      <c r="O1950" s="41" t="str">
        <f t="shared" si="311"/>
        <v xml:space="preserve"> </v>
      </c>
      <c r="P1950" s="60">
        <f t="shared" si="312"/>
        <v>0</v>
      </c>
    </row>
    <row r="1951" spans="1:16" ht="15" customHeight="1">
      <c r="A1951" s="28">
        <v>0</v>
      </c>
      <c r="B1951" s="28" t="s">
        <v>1053</v>
      </c>
      <c r="C1951" s="129" t="s">
        <v>1050</v>
      </c>
      <c r="D1951" s="128">
        <v>0</v>
      </c>
      <c r="E1951" s="128" t="s">
        <v>1050</v>
      </c>
      <c r="F1951" s="29" t="s">
        <v>1050</v>
      </c>
      <c r="G1951" s="56" t="str">
        <f t="shared" ca="1" si="313"/>
        <v/>
      </c>
      <c r="H1951" s="28" t="str">
        <f t="shared" ca="1" si="305"/>
        <v/>
      </c>
      <c r="J1951" s="38" t="str">
        <f t="shared" si="306"/>
        <v xml:space="preserve"> </v>
      </c>
      <c r="K1951" s="39">
        <f t="shared" si="307"/>
        <v>0</v>
      </c>
      <c r="L1951" s="39" t="str">
        <f t="shared" si="308"/>
        <v/>
      </c>
      <c r="M1951" s="40" t="str">
        <f t="shared" si="309"/>
        <v xml:space="preserve"> </v>
      </c>
      <c r="N1951" s="41" t="str">
        <f t="shared" ca="1" si="310"/>
        <v/>
      </c>
      <c r="O1951" s="41" t="str">
        <f t="shared" si="311"/>
        <v xml:space="preserve"> </v>
      </c>
      <c r="P1951" s="60">
        <f t="shared" si="312"/>
        <v>0</v>
      </c>
    </row>
    <row r="1952" spans="1:16" ht="15" customHeight="1">
      <c r="A1952" s="28">
        <v>0</v>
      </c>
      <c r="B1952" s="28" t="s">
        <v>1053</v>
      </c>
      <c r="C1952" s="129" t="s">
        <v>1050</v>
      </c>
      <c r="D1952" s="128">
        <v>0</v>
      </c>
      <c r="E1952" s="128" t="s">
        <v>1050</v>
      </c>
      <c r="F1952" s="29" t="s">
        <v>1050</v>
      </c>
      <c r="G1952" s="56" t="str">
        <f t="shared" ca="1" si="313"/>
        <v/>
      </c>
      <c r="H1952" s="28" t="str">
        <f t="shared" ca="1" si="305"/>
        <v/>
      </c>
      <c r="J1952" s="38" t="str">
        <f t="shared" si="306"/>
        <v xml:space="preserve"> </v>
      </c>
      <c r="K1952" s="39">
        <f t="shared" si="307"/>
        <v>0</v>
      </c>
      <c r="L1952" s="39" t="str">
        <f t="shared" si="308"/>
        <v/>
      </c>
      <c r="M1952" s="40" t="str">
        <f t="shared" si="309"/>
        <v xml:space="preserve"> </v>
      </c>
      <c r="N1952" s="41" t="str">
        <f t="shared" ca="1" si="310"/>
        <v/>
      </c>
      <c r="O1952" s="41" t="str">
        <f t="shared" si="311"/>
        <v xml:space="preserve"> </v>
      </c>
      <c r="P1952" s="60">
        <f t="shared" si="312"/>
        <v>0</v>
      </c>
    </row>
    <row r="1953" spans="1:16" ht="15" customHeight="1">
      <c r="A1953" s="28">
        <v>0</v>
      </c>
      <c r="B1953" s="28" t="s">
        <v>1053</v>
      </c>
      <c r="C1953" s="129" t="s">
        <v>1050</v>
      </c>
      <c r="D1953" s="128">
        <v>0</v>
      </c>
      <c r="E1953" s="128" t="s">
        <v>1050</v>
      </c>
      <c r="F1953" s="29" t="s">
        <v>1050</v>
      </c>
      <c r="G1953" s="56" t="str">
        <f t="shared" ca="1" si="313"/>
        <v/>
      </c>
      <c r="H1953" s="28" t="str">
        <f t="shared" ca="1" si="305"/>
        <v/>
      </c>
      <c r="J1953" s="38" t="str">
        <f t="shared" si="306"/>
        <v xml:space="preserve"> </v>
      </c>
      <c r="K1953" s="39">
        <f t="shared" si="307"/>
        <v>0</v>
      </c>
      <c r="L1953" s="39" t="str">
        <f t="shared" si="308"/>
        <v/>
      </c>
      <c r="M1953" s="40" t="str">
        <f t="shared" si="309"/>
        <v xml:space="preserve"> </v>
      </c>
      <c r="N1953" s="41" t="str">
        <f t="shared" ca="1" si="310"/>
        <v/>
      </c>
      <c r="O1953" s="41" t="str">
        <f t="shared" si="311"/>
        <v xml:space="preserve"> </v>
      </c>
      <c r="P1953" s="60">
        <f t="shared" si="312"/>
        <v>0</v>
      </c>
    </row>
    <row r="1954" spans="1:16" ht="15" customHeight="1">
      <c r="A1954" s="28">
        <v>0</v>
      </c>
      <c r="B1954" s="28" t="s">
        <v>1053</v>
      </c>
      <c r="C1954" s="129" t="s">
        <v>1050</v>
      </c>
      <c r="D1954" s="128">
        <v>0</v>
      </c>
      <c r="E1954" s="128" t="s">
        <v>1050</v>
      </c>
      <c r="F1954" s="29" t="s">
        <v>1050</v>
      </c>
      <c r="G1954" s="56" t="str">
        <f t="shared" ca="1" si="313"/>
        <v/>
      </c>
      <c r="H1954" s="28" t="str">
        <f t="shared" ca="1" si="305"/>
        <v/>
      </c>
      <c r="J1954" s="38" t="str">
        <f t="shared" si="306"/>
        <v xml:space="preserve"> </v>
      </c>
      <c r="K1954" s="39">
        <f t="shared" si="307"/>
        <v>0</v>
      </c>
      <c r="L1954" s="39" t="str">
        <f t="shared" si="308"/>
        <v/>
      </c>
      <c r="M1954" s="40" t="str">
        <f t="shared" si="309"/>
        <v xml:space="preserve"> </v>
      </c>
      <c r="N1954" s="41" t="str">
        <f t="shared" ca="1" si="310"/>
        <v/>
      </c>
      <c r="O1954" s="41" t="str">
        <f t="shared" si="311"/>
        <v xml:space="preserve"> </v>
      </c>
      <c r="P1954" s="60">
        <f t="shared" si="312"/>
        <v>0</v>
      </c>
    </row>
    <row r="1955" spans="1:16" ht="15" customHeight="1">
      <c r="A1955" s="28">
        <v>0</v>
      </c>
      <c r="B1955" s="28" t="s">
        <v>1053</v>
      </c>
      <c r="C1955" s="129" t="s">
        <v>1050</v>
      </c>
      <c r="D1955" s="128">
        <v>0</v>
      </c>
      <c r="E1955" s="128" t="s">
        <v>1050</v>
      </c>
      <c r="F1955" s="29" t="s">
        <v>1050</v>
      </c>
      <c r="G1955" s="56" t="str">
        <f t="shared" ca="1" si="313"/>
        <v/>
      </c>
      <c r="H1955" s="28" t="str">
        <f t="shared" ca="1" si="305"/>
        <v/>
      </c>
      <c r="J1955" s="38" t="str">
        <f t="shared" si="306"/>
        <v xml:space="preserve"> </v>
      </c>
      <c r="K1955" s="39">
        <f t="shared" si="307"/>
        <v>0</v>
      </c>
      <c r="L1955" s="39" t="str">
        <f t="shared" si="308"/>
        <v/>
      </c>
      <c r="M1955" s="40" t="str">
        <f t="shared" si="309"/>
        <v xml:space="preserve"> </v>
      </c>
      <c r="N1955" s="41" t="str">
        <f t="shared" ca="1" si="310"/>
        <v/>
      </c>
      <c r="O1955" s="41" t="str">
        <f t="shared" si="311"/>
        <v xml:space="preserve"> </v>
      </c>
      <c r="P1955" s="60">
        <f t="shared" si="312"/>
        <v>0</v>
      </c>
    </row>
    <row r="1956" spans="1:16" ht="15" customHeight="1">
      <c r="A1956" s="28">
        <v>0</v>
      </c>
      <c r="B1956" s="28" t="s">
        <v>1053</v>
      </c>
      <c r="C1956" s="129" t="s">
        <v>1050</v>
      </c>
      <c r="D1956" s="128">
        <v>0</v>
      </c>
      <c r="E1956" s="128" t="s">
        <v>1050</v>
      </c>
      <c r="F1956" s="29" t="s">
        <v>1050</v>
      </c>
      <c r="G1956" s="56" t="str">
        <f t="shared" ca="1" si="313"/>
        <v/>
      </c>
      <c r="H1956" s="28" t="str">
        <f t="shared" ca="1" si="305"/>
        <v/>
      </c>
      <c r="J1956" s="38" t="str">
        <f t="shared" si="306"/>
        <v xml:space="preserve"> </v>
      </c>
      <c r="K1956" s="39">
        <f t="shared" si="307"/>
        <v>0</v>
      </c>
      <c r="L1956" s="39" t="str">
        <f t="shared" si="308"/>
        <v/>
      </c>
      <c r="M1956" s="40" t="str">
        <f t="shared" si="309"/>
        <v xml:space="preserve"> </v>
      </c>
      <c r="N1956" s="41" t="str">
        <f t="shared" ca="1" si="310"/>
        <v/>
      </c>
      <c r="O1956" s="41" t="str">
        <f t="shared" si="311"/>
        <v xml:space="preserve"> </v>
      </c>
      <c r="P1956" s="60">
        <f t="shared" si="312"/>
        <v>0</v>
      </c>
    </row>
    <row r="1957" spans="1:16" ht="15" customHeight="1">
      <c r="A1957" s="28">
        <v>0</v>
      </c>
      <c r="B1957" s="28" t="s">
        <v>1053</v>
      </c>
      <c r="C1957" s="129" t="s">
        <v>1050</v>
      </c>
      <c r="D1957" s="128">
        <v>0</v>
      </c>
      <c r="E1957" s="128" t="s">
        <v>1050</v>
      </c>
      <c r="F1957" s="29" t="s">
        <v>1050</v>
      </c>
      <c r="G1957" s="56" t="str">
        <f t="shared" ca="1" si="313"/>
        <v/>
      </c>
      <c r="H1957" s="28" t="str">
        <f t="shared" ca="1" si="305"/>
        <v/>
      </c>
      <c r="J1957" s="38" t="str">
        <f t="shared" si="306"/>
        <v xml:space="preserve"> </v>
      </c>
      <c r="K1957" s="39">
        <f t="shared" si="307"/>
        <v>0</v>
      </c>
      <c r="L1957" s="39" t="str">
        <f t="shared" si="308"/>
        <v/>
      </c>
      <c r="M1957" s="40" t="str">
        <f t="shared" si="309"/>
        <v xml:space="preserve"> </v>
      </c>
      <c r="N1957" s="41" t="str">
        <f t="shared" ca="1" si="310"/>
        <v/>
      </c>
      <c r="O1957" s="41" t="str">
        <f t="shared" si="311"/>
        <v xml:space="preserve"> </v>
      </c>
      <c r="P1957" s="60">
        <f t="shared" si="312"/>
        <v>0</v>
      </c>
    </row>
    <row r="1958" spans="1:16" ht="15" customHeight="1">
      <c r="A1958" s="28">
        <v>0</v>
      </c>
      <c r="B1958" s="28" t="s">
        <v>1053</v>
      </c>
      <c r="C1958" s="129" t="s">
        <v>1050</v>
      </c>
      <c r="D1958" s="128">
        <v>0</v>
      </c>
      <c r="E1958" s="128" t="s">
        <v>1050</v>
      </c>
      <c r="F1958" s="29" t="s">
        <v>1050</v>
      </c>
      <c r="G1958" s="56" t="str">
        <f t="shared" ca="1" si="313"/>
        <v/>
      </c>
      <c r="H1958" s="28" t="str">
        <f t="shared" ca="1" si="305"/>
        <v/>
      </c>
      <c r="J1958" s="38" t="str">
        <f t="shared" si="306"/>
        <v xml:space="preserve"> </v>
      </c>
      <c r="K1958" s="39">
        <f t="shared" si="307"/>
        <v>0</v>
      </c>
      <c r="L1958" s="39" t="str">
        <f t="shared" si="308"/>
        <v/>
      </c>
      <c r="M1958" s="40" t="str">
        <f t="shared" si="309"/>
        <v xml:space="preserve"> </v>
      </c>
      <c r="N1958" s="41" t="str">
        <f t="shared" ca="1" si="310"/>
        <v/>
      </c>
      <c r="O1958" s="41" t="str">
        <f t="shared" si="311"/>
        <v xml:space="preserve"> </v>
      </c>
      <c r="P1958" s="60">
        <f t="shared" si="312"/>
        <v>0</v>
      </c>
    </row>
    <row r="1959" spans="1:16" ht="15" customHeight="1">
      <c r="A1959" s="28">
        <v>0</v>
      </c>
      <c r="B1959" s="28" t="s">
        <v>1053</v>
      </c>
      <c r="C1959" s="129" t="s">
        <v>1050</v>
      </c>
      <c r="D1959" s="128">
        <v>0</v>
      </c>
      <c r="E1959" s="128" t="s">
        <v>1050</v>
      </c>
      <c r="F1959" s="29" t="s">
        <v>1050</v>
      </c>
      <c r="G1959" s="56" t="str">
        <f t="shared" ca="1" si="313"/>
        <v/>
      </c>
      <c r="H1959" s="28" t="str">
        <f t="shared" ref="H1959:H2000" ca="1" si="314">IFERROR(IF($A1959&gt;0,ROUNDDOWN(INT(TODAY()-F1959)/365.25,0),""),"")</f>
        <v/>
      </c>
      <c r="J1959" s="38" t="str">
        <f t="shared" ref="J1959:J2000" si="315">C1959</f>
        <v xml:space="preserve"> </v>
      </c>
      <c r="K1959" s="39">
        <f t="shared" ref="K1959:K2000" si="316">A1959</f>
        <v>0</v>
      </c>
      <c r="L1959" s="39" t="str">
        <f t="shared" ref="L1959:L2000" si="317">B1959</f>
        <v/>
      </c>
      <c r="M1959" s="40" t="str">
        <f t="shared" ref="M1959:M2000" si="318">F1959</f>
        <v xml:space="preserve"> </v>
      </c>
      <c r="N1959" s="41" t="str">
        <f t="shared" ref="N1959:N2000" ca="1" si="319">G1959</f>
        <v/>
      </c>
      <c r="O1959" s="41" t="str">
        <f t="shared" ref="O1959:O2000" si="320">E1959</f>
        <v xml:space="preserve"> </v>
      </c>
      <c r="P1959" s="60">
        <f t="shared" ref="P1959:P2000" si="321">D1959</f>
        <v>0</v>
      </c>
    </row>
    <row r="1960" spans="1:16" ht="15" customHeight="1">
      <c r="A1960" s="28">
        <v>0</v>
      </c>
      <c r="B1960" s="28" t="s">
        <v>1053</v>
      </c>
      <c r="C1960" s="129" t="s">
        <v>1050</v>
      </c>
      <c r="D1960" s="128">
        <v>0</v>
      </c>
      <c r="E1960" s="128" t="s">
        <v>1050</v>
      </c>
      <c r="F1960" s="29" t="s">
        <v>1050</v>
      </c>
      <c r="G1960" s="56" t="str">
        <f t="shared" ca="1" si="313"/>
        <v/>
      </c>
      <c r="H1960" s="28" t="str">
        <f t="shared" ca="1" si="314"/>
        <v/>
      </c>
      <c r="J1960" s="38" t="str">
        <f t="shared" si="315"/>
        <v xml:space="preserve"> </v>
      </c>
      <c r="K1960" s="39">
        <f t="shared" si="316"/>
        <v>0</v>
      </c>
      <c r="L1960" s="39" t="str">
        <f t="shared" si="317"/>
        <v/>
      </c>
      <c r="M1960" s="40" t="str">
        <f t="shared" si="318"/>
        <v xml:space="preserve"> </v>
      </c>
      <c r="N1960" s="41" t="str">
        <f t="shared" ca="1" si="319"/>
        <v/>
      </c>
      <c r="O1960" s="41" t="str">
        <f t="shared" si="320"/>
        <v xml:space="preserve"> </v>
      </c>
      <c r="P1960" s="60">
        <f t="shared" si="321"/>
        <v>0</v>
      </c>
    </row>
    <row r="1961" spans="1:16" ht="15" customHeight="1">
      <c r="A1961" s="28">
        <v>0</v>
      </c>
      <c r="B1961" s="28" t="s">
        <v>1053</v>
      </c>
      <c r="C1961" s="129" t="s">
        <v>1050</v>
      </c>
      <c r="D1961" s="128">
        <v>0</v>
      </c>
      <c r="E1961" s="128" t="s">
        <v>1050</v>
      </c>
      <c r="F1961" s="29" t="s">
        <v>1050</v>
      </c>
      <c r="G1961" s="56" t="str">
        <f t="shared" ca="1" si="313"/>
        <v/>
      </c>
      <c r="H1961" s="28" t="str">
        <f t="shared" ca="1" si="314"/>
        <v/>
      </c>
      <c r="J1961" s="38" t="str">
        <f t="shared" si="315"/>
        <v xml:space="preserve"> </v>
      </c>
      <c r="K1961" s="39">
        <f t="shared" si="316"/>
        <v>0</v>
      </c>
      <c r="L1961" s="39" t="str">
        <f t="shared" si="317"/>
        <v/>
      </c>
      <c r="M1961" s="40" t="str">
        <f t="shared" si="318"/>
        <v xml:space="preserve"> </v>
      </c>
      <c r="N1961" s="41" t="str">
        <f t="shared" ca="1" si="319"/>
        <v/>
      </c>
      <c r="O1961" s="41" t="str">
        <f t="shared" si="320"/>
        <v xml:space="preserve"> </v>
      </c>
      <c r="P1961" s="60">
        <f t="shared" si="321"/>
        <v>0</v>
      </c>
    </row>
    <row r="1962" spans="1:16" ht="15" customHeight="1">
      <c r="A1962" s="28">
        <v>0</v>
      </c>
      <c r="B1962" s="28" t="s">
        <v>1053</v>
      </c>
      <c r="C1962" s="129" t="s">
        <v>1050</v>
      </c>
      <c r="D1962" s="128">
        <v>0</v>
      </c>
      <c r="E1962" s="128" t="s">
        <v>1050</v>
      </c>
      <c r="F1962" s="29" t="s">
        <v>1050</v>
      </c>
      <c r="G1962" s="56" t="str">
        <f t="shared" ca="1" si="313"/>
        <v/>
      </c>
      <c r="H1962" s="28" t="str">
        <f t="shared" ca="1" si="314"/>
        <v/>
      </c>
      <c r="J1962" s="38" t="str">
        <f t="shared" si="315"/>
        <v xml:space="preserve"> </v>
      </c>
      <c r="K1962" s="39">
        <f t="shared" si="316"/>
        <v>0</v>
      </c>
      <c r="L1962" s="39" t="str">
        <f t="shared" si="317"/>
        <v/>
      </c>
      <c r="M1962" s="40" t="str">
        <f t="shared" si="318"/>
        <v xml:space="preserve"> </v>
      </c>
      <c r="N1962" s="41" t="str">
        <f t="shared" ca="1" si="319"/>
        <v/>
      </c>
      <c r="O1962" s="41" t="str">
        <f t="shared" si="320"/>
        <v xml:space="preserve"> </v>
      </c>
      <c r="P1962" s="60">
        <f t="shared" si="321"/>
        <v>0</v>
      </c>
    </row>
    <row r="1963" spans="1:16" ht="15" customHeight="1">
      <c r="A1963" s="28">
        <v>0</v>
      </c>
      <c r="B1963" s="28" t="s">
        <v>1053</v>
      </c>
      <c r="C1963" s="129" t="s">
        <v>1050</v>
      </c>
      <c r="D1963" s="128">
        <v>0</v>
      </c>
      <c r="E1963" s="128" t="s">
        <v>1050</v>
      </c>
      <c r="F1963" s="29" t="s">
        <v>1050</v>
      </c>
      <c r="G1963" s="56" t="str">
        <f t="shared" ca="1" si="313"/>
        <v/>
      </c>
      <c r="H1963" s="28" t="str">
        <f t="shared" ca="1" si="314"/>
        <v/>
      </c>
      <c r="J1963" s="38" t="str">
        <f t="shared" si="315"/>
        <v xml:space="preserve"> </v>
      </c>
      <c r="K1963" s="39">
        <f t="shared" si="316"/>
        <v>0</v>
      </c>
      <c r="L1963" s="39" t="str">
        <f t="shared" si="317"/>
        <v/>
      </c>
      <c r="M1963" s="40" t="str">
        <f t="shared" si="318"/>
        <v xml:space="preserve"> </v>
      </c>
      <c r="N1963" s="41" t="str">
        <f t="shared" ca="1" si="319"/>
        <v/>
      </c>
      <c r="O1963" s="41" t="str">
        <f t="shared" si="320"/>
        <v xml:space="preserve"> </v>
      </c>
      <c r="P1963" s="60">
        <f t="shared" si="321"/>
        <v>0</v>
      </c>
    </row>
    <row r="1964" spans="1:16" ht="15" customHeight="1">
      <c r="A1964" s="28">
        <v>0</v>
      </c>
      <c r="B1964" s="28" t="s">
        <v>1053</v>
      </c>
      <c r="C1964" s="129" t="s">
        <v>1050</v>
      </c>
      <c r="D1964" s="128">
        <v>0</v>
      </c>
      <c r="E1964" s="128" t="s">
        <v>1050</v>
      </c>
      <c r="F1964" s="29" t="s">
        <v>1050</v>
      </c>
      <c r="G1964" s="56" t="str">
        <f t="shared" ca="1" si="313"/>
        <v/>
      </c>
      <c r="H1964" s="28" t="str">
        <f t="shared" ca="1" si="314"/>
        <v/>
      </c>
      <c r="J1964" s="38" t="str">
        <f t="shared" si="315"/>
        <v xml:space="preserve"> </v>
      </c>
      <c r="K1964" s="39">
        <f t="shared" si="316"/>
        <v>0</v>
      </c>
      <c r="L1964" s="39" t="str">
        <f t="shared" si="317"/>
        <v/>
      </c>
      <c r="M1964" s="40" t="str">
        <f t="shared" si="318"/>
        <v xml:space="preserve"> </v>
      </c>
      <c r="N1964" s="41" t="str">
        <f t="shared" ca="1" si="319"/>
        <v/>
      </c>
      <c r="O1964" s="41" t="str">
        <f t="shared" si="320"/>
        <v xml:space="preserve"> </v>
      </c>
      <c r="P1964" s="60">
        <f t="shared" si="321"/>
        <v>0</v>
      </c>
    </row>
    <row r="1965" spans="1:16" ht="15" customHeight="1">
      <c r="A1965" s="28">
        <v>0</v>
      </c>
      <c r="B1965" s="28" t="s">
        <v>1053</v>
      </c>
      <c r="C1965" s="129" t="s">
        <v>1050</v>
      </c>
      <c r="D1965" s="128">
        <v>0</v>
      </c>
      <c r="E1965" s="128" t="s">
        <v>1050</v>
      </c>
      <c r="F1965" s="29" t="s">
        <v>1050</v>
      </c>
      <c r="G1965" s="56" t="str">
        <f t="shared" ca="1" si="313"/>
        <v/>
      </c>
      <c r="H1965" s="28" t="str">
        <f t="shared" ca="1" si="314"/>
        <v/>
      </c>
      <c r="J1965" s="38" t="str">
        <f t="shared" si="315"/>
        <v xml:space="preserve"> </v>
      </c>
      <c r="K1965" s="39">
        <f t="shared" si="316"/>
        <v>0</v>
      </c>
      <c r="L1965" s="39" t="str">
        <f t="shared" si="317"/>
        <v/>
      </c>
      <c r="M1965" s="40" t="str">
        <f t="shared" si="318"/>
        <v xml:space="preserve"> </v>
      </c>
      <c r="N1965" s="41" t="str">
        <f t="shared" ca="1" si="319"/>
        <v/>
      </c>
      <c r="O1965" s="41" t="str">
        <f t="shared" si="320"/>
        <v xml:space="preserve"> </v>
      </c>
      <c r="P1965" s="60">
        <f t="shared" si="321"/>
        <v>0</v>
      </c>
    </row>
    <row r="1966" spans="1:16" ht="15" customHeight="1">
      <c r="A1966" s="28">
        <v>0</v>
      </c>
      <c r="B1966" s="28" t="s">
        <v>1053</v>
      </c>
      <c r="C1966" s="129" t="s">
        <v>1050</v>
      </c>
      <c r="D1966" s="128">
        <v>0</v>
      </c>
      <c r="E1966" s="128" t="s">
        <v>1050</v>
      </c>
      <c r="F1966" s="29" t="s">
        <v>1050</v>
      </c>
      <c r="G1966" s="56" t="str">
        <f t="shared" ca="1" si="313"/>
        <v/>
      </c>
      <c r="H1966" s="28" t="str">
        <f t="shared" ca="1" si="314"/>
        <v/>
      </c>
      <c r="J1966" s="38" t="str">
        <f t="shared" si="315"/>
        <v xml:space="preserve"> </v>
      </c>
      <c r="K1966" s="39">
        <f t="shared" si="316"/>
        <v>0</v>
      </c>
      <c r="L1966" s="39" t="str">
        <f t="shared" si="317"/>
        <v/>
      </c>
      <c r="M1966" s="40" t="str">
        <f t="shared" si="318"/>
        <v xml:space="preserve"> </v>
      </c>
      <c r="N1966" s="41" t="str">
        <f t="shared" ca="1" si="319"/>
        <v/>
      </c>
      <c r="O1966" s="41" t="str">
        <f t="shared" si="320"/>
        <v xml:space="preserve"> </v>
      </c>
      <c r="P1966" s="60">
        <f t="shared" si="321"/>
        <v>0</v>
      </c>
    </row>
    <row r="1967" spans="1:16" ht="15" customHeight="1">
      <c r="A1967" s="28">
        <v>0</v>
      </c>
      <c r="B1967" s="28" t="s">
        <v>1053</v>
      </c>
      <c r="C1967" s="129" t="s">
        <v>1050</v>
      </c>
      <c r="D1967" s="128">
        <v>0</v>
      </c>
      <c r="E1967" s="128" t="s">
        <v>1050</v>
      </c>
      <c r="F1967" s="29" t="s">
        <v>1050</v>
      </c>
      <c r="G1967" s="56" t="str">
        <f t="shared" ca="1" si="313"/>
        <v/>
      </c>
      <c r="H1967" s="28" t="str">
        <f t="shared" ca="1" si="314"/>
        <v/>
      </c>
      <c r="J1967" s="38" t="str">
        <f t="shared" si="315"/>
        <v xml:space="preserve"> </v>
      </c>
      <c r="K1967" s="39">
        <f t="shared" si="316"/>
        <v>0</v>
      </c>
      <c r="L1967" s="39" t="str">
        <f t="shared" si="317"/>
        <v/>
      </c>
      <c r="M1967" s="40" t="str">
        <f t="shared" si="318"/>
        <v xml:space="preserve"> </v>
      </c>
      <c r="N1967" s="41" t="str">
        <f t="shared" ca="1" si="319"/>
        <v/>
      </c>
      <c r="O1967" s="41" t="str">
        <f t="shared" si="320"/>
        <v xml:space="preserve"> </v>
      </c>
      <c r="P1967" s="60">
        <f t="shared" si="321"/>
        <v>0</v>
      </c>
    </row>
    <row r="1968" spans="1:16" ht="15" customHeight="1">
      <c r="A1968" s="28">
        <v>0</v>
      </c>
      <c r="B1968" s="28" t="s">
        <v>1053</v>
      </c>
      <c r="C1968" s="129" t="s">
        <v>1050</v>
      </c>
      <c r="D1968" s="128">
        <v>0</v>
      </c>
      <c r="E1968" s="128" t="s">
        <v>1050</v>
      </c>
      <c r="F1968" s="29" t="s">
        <v>1050</v>
      </c>
      <c r="G1968" s="56" t="str">
        <f t="shared" ca="1" si="313"/>
        <v/>
      </c>
      <c r="H1968" s="28" t="str">
        <f t="shared" ca="1" si="314"/>
        <v/>
      </c>
      <c r="J1968" s="38" t="str">
        <f t="shared" si="315"/>
        <v xml:space="preserve"> </v>
      </c>
      <c r="K1968" s="39">
        <f t="shared" si="316"/>
        <v>0</v>
      </c>
      <c r="L1968" s="39" t="str">
        <f t="shared" si="317"/>
        <v/>
      </c>
      <c r="M1968" s="40" t="str">
        <f t="shared" si="318"/>
        <v xml:space="preserve"> </v>
      </c>
      <c r="N1968" s="41" t="str">
        <f t="shared" ca="1" si="319"/>
        <v/>
      </c>
      <c r="O1968" s="41" t="str">
        <f t="shared" si="320"/>
        <v xml:space="preserve"> </v>
      </c>
      <c r="P1968" s="60">
        <f t="shared" si="321"/>
        <v>0</v>
      </c>
    </row>
    <row r="1969" spans="1:16" ht="15" customHeight="1">
      <c r="A1969" s="28">
        <v>0</v>
      </c>
      <c r="B1969" s="28" t="s">
        <v>1053</v>
      </c>
      <c r="C1969" s="129" t="s">
        <v>1050</v>
      </c>
      <c r="D1969" s="128">
        <v>0</v>
      </c>
      <c r="E1969" s="128" t="s">
        <v>1050</v>
      </c>
      <c r="F1969" s="29" t="s">
        <v>1050</v>
      </c>
      <c r="G1969" s="56" t="str">
        <f t="shared" ca="1" si="313"/>
        <v/>
      </c>
      <c r="H1969" s="28" t="str">
        <f t="shared" ca="1" si="314"/>
        <v/>
      </c>
      <c r="J1969" s="38" t="str">
        <f t="shared" si="315"/>
        <v xml:space="preserve"> </v>
      </c>
      <c r="K1969" s="39">
        <f t="shared" si="316"/>
        <v>0</v>
      </c>
      <c r="L1969" s="39" t="str">
        <f t="shared" si="317"/>
        <v/>
      </c>
      <c r="M1969" s="40" t="str">
        <f t="shared" si="318"/>
        <v xml:space="preserve"> </v>
      </c>
      <c r="N1969" s="41" t="str">
        <f t="shared" ca="1" si="319"/>
        <v/>
      </c>
      <c r="O1969" s="41" t="str">
        <f t="shared" si="320"/>
        <v xml:space="preserve"> </v>
      </c>
      <c r="P1969" s="60">
        <f t="shared" si="321"/>
        <v>0</v>
      </c>
    </row>
    <row r="1970" spans="1:16" ht="15" customHeight="1">
      <c r="A1970" s="28">
        <v>0</v>
      </c>
      <c r="B1970" s="28" t="s">
        <v>1053</v>
      </c>
      <c r="C1970" s="129" t="s">
        <v>1050</v>
      </c>
      <c r="D1970" s="128">
        <v>0</v>
      </c>
      <c r="E1970" s="128" t="s">
        <v>1050</v>
      </c>
      <c r="F1970" s="29" t="s">
        <v>1050</v>
      </c>
      <c r="G1970" s="56" t="str">
        <f t="shared" ca="1" si="313"/>
        <v/>
      </c>
      <c r="H1970" s="28" t="str">
        <f t="shared" ca="1" si="314"/>
        <v/>
      </c>
      <c r="J1970" s="38" t="str">
        <f t="shared" si="315"/>
        <v xml:space="preserve"> </v>
      </c>
      <c r="K1970" s="39">
        <f t="shared" si="316"/>
        <v>0</v>
      </c>
      <c r="L1970" s="39" t="str">
        <f t="shared" si="317"/>
        <v/>
      </c>
      <c r="M1970" s="40" t="str">
        <f t="shared" si="318"/>
        <v xml:space="preserve"> </v>
      </c>
      <c r="N1970" s="41" t="str">
        <f t="shared" ca="1" si="319"/>
        <v/>
      </c>
      <c r="O1970" s="41" t="str">
        <f t="shared" si="320"/>
        <v xml:space="preserve"> </v>
      </c>
      <c r="P1970" s="60">
        <f t="shared" si="321"/>
        <v>0</v>
      </c>
    </row>
    <row r="1971" spans="1:16" ht="15" customHeight="1">
      <c r="A1971" s="28">
        <v>0</v>
      </c>
      <c r="B1971" s="28" t="s">
        <v>1053</v>
      </c>
      <c r="C1971" s="129" t="s">
        <v>1050</v>
      </c>
      <c r="D1971" s="128">
        <v>0</v>
      </c>
      <c r="E1971" s="128" t="s">
        <v>1050</v>
      </c>
      <c r="F1971" s="29" t="s">
        <v>1050</v>
      </c>
      <c r="G1971" s="56" t="str">
        <f t="shared" ca="1" si="313"/>
        <v/>
      </c>
      <c r="H1971" s="28" t="str">
        <f t="shared" ca="1" si="314"/>
        <v/>
      </c>
      <c r="J1971" s="38" t="str">
        <f t="shared" si="315"/>
        <v xml:space="preserve"> </v>
      </c>
      <c r="K1971" s="39">
        <f t="shared" si="316"/>
        <v>0</v>
      </c>
      <c r="L1971" s="39" t="str">
        <f t="shared" si="317"/>
        <v/>
      </c>
      <c r="M1971" s="40" t="str">
        <f t="shared" si="318"/>
        <v xml:space="preserve"> </v>
      </c>
      <c r="N1971" s="41" t="str">
        <f t="shared" ca="1" si="319"/>
        <v/>
      </c>
      <c r="O1971" s="41" t="str">
        <f t="shared" si="320"/>
        <v xml:space="preserve"> </v>
      </c>
      <c r="P1971" s="60">
        <f t="shared" si="321"/>
        <v>0</v>
      </c>
    </row>
    <row r="1972" spans="1:16" ht="15" customHeight="1">
      <c r="A1972" s="28">
        <v>0</v>
      </c>
      <c r="B1972" s="28" t="s">
        <v>1053</v>
      </c>
      <c r="C1972" s="129" t="s">
        <v>1050</v>
      </c>
      <c r="D1972" s="128">
        <v>0</v>
      </c>
      <c r="E1972" s="128" t="s">
        <v>1050</v>
      </c>
      <c r="F1972" s="29" t="s">
        <v>1050</v>
      </c>
      <c r="G1972" s="56" t="str">
        <f t="shared" ca="1" si="313"/>
        <v/>
      </c>
      <c r="H1972" s="28" t="str">
        <f t="shared" ca="1" si="314"/>
        <v/>
      </c>
      <c r="J1972" s="38" t="str">
        <f t="shared" si="315"/>
        <v xml:space="preserve"> </v>
      </c>
      <c r="K1972" s="39">
        <f t="shared" si="316"/>
        <v>0</v>
      </c>
      <c r="L1972" s="39" t="str">
        <f t="shared" si="317"/>
        <v/>
      </c>
      <c r="M1972" s="40" t="str">
        <f t="shared" si="318"/>
        <v xml:space="preserve"> </v>
      </c>
      <c r="N1972" s="41" t="str">
        <f t="shared" ca="1" si="319"/>
        <v/>
      </c>
      <c r="O1972" s="41" t="str">
        <f t="shared" si="320"/>
        <v xml:space="preserve"> </v>
      </c>
      <c r="P1972" s="60">
        <f t="shared" si="321"/>
        <v>0</v>
      </c>
    </row>
    <row r="1973" spans="1:16" ht="15" customHeight="1">
      <c r="A1973" s="28">
        <v>0</v>
      </c>
      <c r="B1973" s="28" t="s">
        <v>1053</v>
      </c>
      <c r="C1973" s="129" t="s">
        <v>1050</v>
      </c>
      <c r="D1973" s="128">
        <v>0</v>
      </c>
      <c r="E1973" s="128" t="s">
        <v>1050</v>
      </c>
      <c r="F1973" s="29" t="s">
        <v>1050</v>
      </c>
      <c r="G1973" s="56" t="str">
        <f t="shared" ca="1" si="313"/>
        <v/>
      </c>
      <c r="H1973" s="28" t="str">
        <f t="shared" ca="1" si="314"/>
        <v/>
      </c>
      <c r="J1973" s="38" t="str">
        <f t="shared" si="315"/>
        <v xml:space="preserve"> </v>
      </c>
      <c r="K1973" s="39">
        <f t="shared" si="316"/>
        <v>0</v>
      </c>
      <c r="L1973" s="39" t="str">
        <f t="shared" si="317"/>
        <v/>
      </c>
      <c r="M1973" s="40" t="str">
        <f t="shared" si="318"/>
        <v xml:space="preserve"> </v>
      </c>
      <c r="N1973" s="41" t="str">
        <f t="shared" ca="1" si="319"/>
        <v/>
      </c>
      <c r="O1973" s="41" t="str">
        <f t="shared" si="320"/>
        <v xml:space="preserve"> </v>
      </c>
      <c r="P1973" s="60">
        <f t="shared" si="321"/>
        <v>0</v>
      </c>
    </row>
    <row r="1974" spans="1:16" ht="15" customHeight="1">
      <c r="A1974" s="28">
        <v>0</v>
      </c>
      <c r="B1974" s="28" t="s">
        <v>1053</v>
      </c>
      <c r="C1974" s="129" t="s">
        <v>1050</v>
      </c>
      <c r="D1974" s="128">
        <v>0</v>
      </c>
      <c r="E1974" s="128" t="s">
        <v>1050</v>
      </c>
      <c r="F1974" s="29" t="s">
        <v>1050</v>
      </c>
      <c r="G1974" s="56" t="str">
        <f t="shared" ca="1" si="313"/>
        <v/>
      </c>
      <c r="H1974" s="28" t="str">
        <f t="shared" ca="1" si="314"/>
        <v/>
      </c>
      <c r="J1974" s="38" t="str">
        <f t="shared" si="315"/>
        <v xml:space="preserve"> </v>
      </c>
      <c r="K1974" s="39">
        <f t="shared" si="316"/>
        <v>0</v>
      </c>
      <c r="L1974" s="39" t="str">
        <f t="shared" si="317"/>
        <v/>
      </c>
      <c r="M1974" s="40" t="str">
        <f t="shared" si="318"/>
        <v xml:space="preserve"> </v>
      </c>
      <c r="N1974" s="41" t="str">
        <f t="shared" ca="1" si="319"/>
        <v/>
      </c>
      <c r="O1974" s="41" t="str">
        <f t="shared" si="320"/>
        <v xml:space="preserve"> </v>
      </c>
      <c r="P1974" s="60">
        <f t="shared" si="321"/>
        <v>0</v>
      </c>
    </row>
    <row r="1975" spans="1:16" ht="15" customHeight="1">
      <c r="A1975" s="28">
        <v>0</v>
      </c>
      <c r="B1975" s="28" t="s">
        <v>1053</v>
      </c>
      <c r="C1975" s="129" t="s">
        <v>1050</v>
      </c>
      <c r="D1975" s="128">
        <v>0</v>
      </c>
      <c r="E1975" s="128" t="s">
        <v>1050</v>
      </c>
      <c r="F1975" s="29" t="s">
        <v>1050</v>
      </c>
      <c r="G1975" s="56" t="str">
        <f t="shared" ca="1" si="313"/>
        <v/>
      </c>
      <c r="H1975" s="28" t="str">
        <f t="shared" ca="1" si="314"/>
        <v/>
      </c>
      <c r="J1975" s="38" t="str">
        <f t="shared" si="315"/>
        <v xml:space="preserve"> </v>
      </c>
      <c r="K1975" s="39">
        <f t="shared" si="316"/>
        <v>0</v>
      </c>
      <c r="L1975" s="39" t="str">
        <f t="shared" si="317"/>
        <v/>
      </c>
      <c r="M1975" s="40" t="str">
        <f t="shared" si="318"/>
        <v xml:space="preserve"> </v>
      </c>
      <c r="N1975" s="41" t="str">
        <f t="shared" ca="1" si="319"/>
        <v/>
      </c>
      <c r="O1975" s="41" t="str">
        <f t="shared" si="320"/>
        <v xml:space="preserve"> </v>
      </c>
      <c r="P1975" s="60">
        <f t="shared" si="321"/>
        <v>0</v>
      </c>
    </row>
    <row r="1976" spans="1:16" ht="15" customHeight="1">
      <c r="A1976" s="28">
        <v>0</v>
      </c>
      <c r="B1976" s="28" t="s">
        <v>1053</v>
      </c>
      <c r="C1976" s="129" t="s">
        <v>1050</v>
      </c>
      <c r="D1976" s="128">
        <v>0</v>
      </c>
      <c r="E1976" s="128" t="s">
        <v>1050</v>
      </c>
      <c r="F1976" s="29" t="s">
        <v>1050</v>
      </c>
      <c r="G1976" s="56" t="str">
        <f t="shared" ca="1" si="313"/>
        <v/>
      </c>
      <c r="H1976" s="28" t="str">
        <f t="shared" ca="1" si="314"/>
        <v/>
      </c>
      <c r="J1976" s="38" t="str">
        <f t="shared" si="315"/>
        <v xml:space="preserve"> </v>
      </c>
      <c r="K1976" s="39">
        <f t="shared" si="316"/>
        <v>0</v>
      </c>
      <c r="L1976" s="39" t="str">
        <f t="shared" si="317"/>
        <v/>
      </c>
      <c r="M1976" s="40" t="str">
        <f t="shared" si="318"/>
        <v xml:space="preserve"> </v>
      </c>
      <c r="N1976" s="41" t="str">
        <f t="shared" ca="1" si="319"/>
        <v/>
      </c>
      <c r="O1976" s="41" t="str">
        <f t="shared" si="320"/>
        <v xml:space="preserve"> </v>
      </c>
      <c r="P1976" s="60">
        <f t="shared" si="321"/>
        <v>0</v>
      </c>
    </row>
    <row r="1977" spans="1:16" ht="15" customHeight="1">
      <c r="A1977" s="28">
        <v>0</v>
      </c>
      <c r="B1977" s="28" t="s">
        <v>1053</v>
      </c>
      <c r="C1977" s="129" t="s">
        <v>1050</v>
      </c>
      <c r="D1977" s="128">
        <v>0</v>
      </c>
      <c r="E1977" s="128" t="s">
        <v>1050</v>
      </c>
      <c r="F1977" s="29" t="s">
        <v>1050</v>
      </c>
      <c r="G1977" s="56" t="str">
        <f t="shared" ca="1" si="313"/>
        <v/>
      </c>
      <c r="H1977" s="28" t="str">
        <f t="shared" ca="1" si="314"/>
        <v/>
      </c>
      <c r="J1977" s="38" t="str">
        <f t="shared" si="315"/>
        <v xml:space="preserve"> </v>
      </c>
      <c r="K1977" s="39">
        <f t="shared" si="316"/>
        <v>0</v>
      </c>
      <c r="L1977" s="39" t="str">
        <f t="shared" si="317"/>
        <v/>
      </c>
      <c r="M1977" s="40" t="str">
        <f t="shared" si="318"/>
        <v xml:space="preserve"> </v>
      </c>
      <c r="N1977" s="41" t="str">
        <f t="shared" ca="1" si="319"/>
        <v/>
      </c>
      <c r="O1977" s="41" t="str">
        <f t="shared" si="320"/>
        <v xml:space="preserve"> </v>
      </c>
      <c r="P1977" s="60">
        <f t="shared" si="321"/>
        <v>0</v>
      </c>
    </row>
    <row r="1978" spans="1:16" ht="15" customHeight="1">
      <c r="A1978" s="28">
        <v>0</v>
      </c>
      <c r="B1978" s="28" t="s">
        <v>1053</v>
      </c>
      <c r="C1978" s="129" t="s">
        <v>1050</v>
      </c>
      <c r="D1978" s="128">
        <v>0</v>
      </c>
      <c r="E1978" s="128" t="s">
        <v>1050</v>
      </c>
      <c r="F1978" s="29" t="s">
        <v>1050</v>
      </c>
      <c r="G1978" s="56" t="str">
        <f t="shared" ca="1" si="313"/>
        <v/>
      </c>
      <c r="H1978" s="28" t="str">
        <f t="shared" ca="1" si="314"/>
        <v/>
      </c>
      <c r="J1978" s="38" t="str">
        <f t="shared" si="315"/>
        <v xml:space="preserve"> </v>
      </c>
      <c r="K1978" s="39">
        <f t="shared" si="316"/>
        <v>0</v>
      </c>
      <c r="L1978" s="39" t="str">
        <f t="shared" si="317"/>
        <v/>
      </c>
      <c r="M1978" s="40" t="str">
        <f t="shared" si="318"/>
        <v xml:space="preserve"> </v>
      </c>
      <c r="N1978" s="41" t="str">
        <f t="shared" ca="1" si="319"/>
        <v/>
      </c>
      <c r="O1978" s="41" t="str">
        <f t="shared" si="320"/>
        <v xml:space="preserve"> </v>
      </c>
      <c r="P1978" s="60">
        <f t="shared" si="321"/>
        <v>0</v>
      </c>
    </row>
    <row r="1979" spans="1:16" ht="15" customHeight="1">
      <c r="A1979" s="28">
        <v>0</v>
      </c>
      <c r="B1979" s="28" t="s">
        <v>1053</v>
      </c>
      <c r="C1979" s="129" t="s">
        <v>1050</v>
      </c>
      <c r="D1979" s="128">
        <v>0</v>
      </c>
      <c r="E1979" s="128" t="s">
        <v>1050</v>
      </c>
      <c r="F1979" s="29" t="s">
        <v>1050</v>
      </c>
      <c r="G1979" s="56" t="str">
        <f t="shared" ca="1" si="313"/>
        <v/>
      </c>
      <c r="H1979" s="28" t="str">
        <f t="shared" ca="1" si="314"/>
        <v/>
      </c>
      <c r="J1979" s="38" t="str">
        <f t="shared" si="315"/>
        <v xml:space="preserve"> </v>
      </c>
      <c r="K1979" s="39">
        <f t="shared" si="316"/>
        <v>0</v>
      </c>
      <c r="L1979" s="39" t="str">
        <f t="shared" si="317"/>
        <v/>
      </c>
      <c r="M1979" s="40" t="str">
        <f t="shared" si="318"/>
        <v xml:space="preserve"> </v>
      </c>
      <c r="N1979" s="41" t="str">
        <f t="shared" ca="1" si="319"/>
        <v/>
      </c>
      <c r="O1979" s="41" t="str">
        <f t="shared" si="320"/>
        <v xml:space="preserve"> </v>
      </c>
      <c r="P1979" s="60">
        <f t="shared" si="321"/>
        <v>0</v>
      </c>
    </row>
    <row r="1980" spans="1:16" ht="15" customHeight="1">
      <c r="A1980" s="28">
        <v>0</v>
      </c>
      <c r="B1980" s="28" t="s">
        <v>1053</v>
      </c>
      <c r="C1980" s="129" t="s">
        <v>1050</v>
      </c>
      <c r="D1980" s="128">
        <v>0</v>
      </c>
      <c r="E1980" s="128" t="s">
        <v>1050</v>
      </c>
      <c r="F1980" s="29" t="s">
        <v>1050</v>
      </c>
      <c r="G1980" s="56" t="str">
        <f t="shared" ca="1" si="313"/>
        <v/>
      </c>
      <c r="H1980" s="28" t="str">
        <f t="shared" ca="1" si="314"/>
        <v/>
      </c>
      <c r="J1980" s="38" t="str">
        <f t="shared" si="315"/>
        <v xml:space="preserve"> </v>
      </c>
      <c r="K1980" s="39">
        <f t="shared" si="316"/>
        <v>0</v>
      </c>
      <c r="L1980" s="39" t="str">
        <f t="shared" si="317"/>
        <v/>
      </c>
      <c r="M1980" s="40" t="str">
        <f t="shared" si="318"/>
        <v xml:space="preserve"> </v>
      </c>
      <c r="N1980" s="41" t="str">
        <f t="shared" ca="1" si="319"/>
        <v/>
      </c>
      <c r="O1980" s="41" t="str">
        <f t="shared" si="320"/>
        <v xml:space="preserve"> </v>
      </c>
      <c r="P1980" s="60">
        <f t="shared" si="321"/>
        <v>0</v>
      </c>
    </row>
    <row r="1981" spans="1:16" ht="15" customHeight="1">
      <c r="A1981" s="28">
        <v>0</v>
      </c>
      <c r="B1981" s="28" t="s">
        <v>1053</v>
      </c>
      <c r="C1981" s="129" t="s">
        <v>1050</v>
      </c>
      <c r="D1981" s="128">
        <v>0</v>
      </c>
      <c r="E1981" s="128" t="s">
        <v>1050</v>
      </c>
      <c r="F1981" s="29" t="s">
        <v>1050</v>
      </c>
      <c r="G1981" s="56" t="str">
        <f t="shared" ca="1" si="313"/>
        <v/>
      </c>
      <c r="H1981" s="28" t="str">
        <f t="shared" ca="1" si="314"/>
        <v/>
      </c>
      <c r="J1981" s="38" t="str">
        <f t="shared" si="315"/>
        <v xml:space="preserve"> </v>
      </c>
      <c r="K1981" s="39">
        <f t="shared" si="316"/>
        <v>0</v>
      </c>
      <c r="L1981" s="39" t="str">
        <f t="shared" si="317"/>
        <v/>
      </c>
      <c r="M1981" s="40" t="str">
        <f t="shared" si="318"/>
        <v xml:space="preserve"> </v>
      </c>
      <c r="N1981" s="41" t="str">
        <f t="shared" ca="1" si="319"/>
        <v/>
      </c>
      <c r="O1981" s="41" t="str">
        <f t="shared" si="320"/>
        <v xml:space="preserve"> </v>
      </c>
      <c r="P1981" s="60">
        <f t="shared" si="321"/>
        <v>0</v>
      </c>
    </row>
    <row r="1982" spans="1:16" ht="15" customHeight="1">
      <c r="A1982" s="28">
        <v>0</v>
      </c>
      <c r="B1982" s="28" t="s">
        <v>1053</v>
      </c>
      <c r="C1982" s="129" t="s">
        <v>1050</v>
      </c>
      <c r="D1982" s="128">
        <v>0</v>
      </c>
      <c r="E1982" s="128" t="s">
        <v>1050</v>
      </c>
      <c r="F1982" s="29" t="s">
        <v>1050</v>
      </c>
      <c r="G1982" s="56" t="str">
        <f t="shared" ca="1" si="313"/>
        <v/>
      </c>
      <c r="H1982" s="28" t="str">
        <f t="shared" ca="1" si="314"/>
        <v/>
      </c>
      <c r="J1982" s="38" t="str">
        <f t="shared" si="315"/>
        <v xml:space="preserve"> </v>
      </c>
      <c r="K1982" s="39">
        <f t="shared" si="316"/>
        <v>0</v>
      </c>
      <c r="L1982" s="39" t="str">
        <f t="shared" si="317"/>
        <v/>
      </c>
      <c r="M1982" s="40" t="str">
        <f t="shared" si="318"/>
        <v xml:space="preserve"> </v>
      </c>
      <c r="N1982" s="41" t="str">
        <f t="shared" ca="1" si="319"/>
        <v/>
      </c>
      <c r="O1982" s="41" t="str">
        <f t="shared" si="320"/>
        <v xml:space="preserve"> </v>
      </c>
      <c r="P1982" s="60">
        <f t="shared" si="321"/>
        <v>0</v>
      </c>
    </row>
    <row r="1983" spans="1:16" ht="15" customHeight="1">
      <c r="A1983" s="28">
        <v>0</v>
      </c>
      <c r="B1983" s="28" t="s">
        <v>1053</v>
      </c>
      <c r="C1983" s="129" t="s">
        <v>1050</v>
      </c>
      <c r="D1983" s="128">
        <v>0</v>
      </c>
      <c r="E1983" s="128" t="s">
        <v>1050</v>
      </c>
      <c r="F1983" s="29" t="s">
        <v>1050</v>
      </c>
      <c r="G1983" s="56" t="str">
        <f t="shared" ca="1" si="313"/>
        <v/>
      </c>
      <c r="H1983" s="28" t="str">
        <f t="shared" ca="1" si="314"/>
        <v/>
      </c>
      <c r="J1983" s="38" t="str">
        <f t="shared" si="315"/>
        <v xml:space="preserve"> </v>
      </c>
      <c r="K1983" s="39">
        <f t="shared" si="316"/>
        <v>0</v>
      </c>
      <c r="L1983" s="39" t="str">
        <f t="shared" si="317"/>
        <v/>
      </c>
      <c r="M1983" s="40" t="str">
        <f t="shared" si="318"/>
        <v xml:space="preserve"> </v>
      </c>
      <c r="N1983" s="41" t="str">
        <f t="shared" ca="1" si="319"/>
        <v/>
      </c>
      <c r="O1983" s="41" t="str">
        <f t="shared" si="320"/>
        <v xml:space="preserve"> </v>
      </c>
      <c r="P1983" s="60">
        <f t="shared" si="321"/>
        <v>0</v>
      </c>
    </row>
    <row r="1984" spans="1:16" ht="15" customHeight="1">
      <c r="A1984" s="28">
        <v>0</v>
      </c>
      <c r="B1984" s="28" t="s">
        <v>1053</v>
      </c>
      <c r="C1984" s="129" t="s">
        <v>1050</v>
      </c>
      <c r="D1984" s="128">
        <v>0</v>
      </c>
      <c r="E1984" s="128" t="s">
        <v>1050</v>
      </c>
      <c r="F1984" s="29" t="s">
        <v>1050</v>
      </c>
      <c r="G1984" s="56" t="str">
        <f t="shared" ca="1" si="313"/>
        <v/>
      </c>
      <c r="H1984" s="28" t="str">
        <f t="shared" ca="1" si="314"/>
        <v/>
      </c>
      <c r="J1984" s="38" t="str">
        <f t="shared" si="315"/>
        <v xml:space="preserve"> </v>
      </c>
      <c r="K1984" s="39">
        <f t="shared" si="316"/>
        <v>0</v>
      </c>
      <c r="L1984" s="39" t="str">
        <f t="shared" si="317"/>
        <v/>
      </c>
      <c r="M1984" s="40" t="str">
        <f t="shared" si="318"/>
        <v xml:space="preserve"> </v>
      </c>
      <c r="N1984" s="41" t="str">
        <f t="shared" ca="1" si="319"/>
        <v/>
      </c>
      <c r="O1984" s="41" t="str">
        <f t="shared" si="320"/>
        <v xml:space="preserve"> </v>
      </c>
      <c r="P1984" s="60">
        <f t="shared" si="321"/>
        <v>0</v>
      </c>
    </row>
    <row r="1985" spans="1:16" ht="15" customHeight="1">
      <c r="A1985" s="28">
        <v>0</v>
      </c>
      <c r="B1985" s="28" t="s">
        <v>1053</v>
      </c>
      <c r="C1985" s="129" t="s">
        <v>1050</v>
      </c>
      <c r="D1985" s="128">
        <v>0</v>
      </c>
      <c r="E1985" s="128" t="s">
        <v>1050</v>
      </c>
      <c r="F1985" s="29" t="s">
        <v>1050</v>
      </c>
      <c r="G1985" s="56" t="str">
        <f t="shared" ca="1" si="313"/>
        <v/>
      </c>
      <c r="H1985" s="28" t="str">
        <f t="shared" ca="1" si="314"/>
        <v/>
      </c>
      <c r="J1985" s="38" t="str">
        <f t="shared" si="315"/>
        <v xml:space="preserve"> </v>
      </c>
      <c r="K1985" s="39">
        <f t="shared" si="316"/>
        <v>0</v>
      </c>
      <c r="L1985" s="39" t="str">
        <f t="shared" si="317"/>
        <v/>
      </c>
      <c r="M1985" s="40" t="str">
        <f t="shared" si="318"/>
        <v xml:space="preserve"> </v>
      </c>
      <c r="N1985" s="41" t="str">
        <f t="shared" ca="1" si="319"/>
        <v/>
      </c>
      <c r="O1985" s="41" t="str">
        <f t="shared" si="320"/>
        <v xml:space="preserve"> </v>
      </c>
      <c r="P1985" s="60">
        <f t="shared" si="321"/>
        <v>0</v>
      </c>
    </row>
    <row r="1986" spans="1:16" ht="15" customHeight="1">
      <c r="A1986" s="28">
        <v>0</v>
      </c>
      <c r="B1986" s="28" t="s">
        <v>1053</v>
      </c>
      <c r="C1986" s="129" t="s">
        <v>1050</v>
      </c>
      <c r="D1986" s="128">
        <v>0</v>
      </c>
      <c r="E1986" s="128" t="s">
        <v>1050</v>
      </c>
      <c r="F1986" s="29" t="s">
        <v>1050</v>
      </c>
      <c r="G1986" s="56" t="str">
        <f t="shared" ca="1" si="313"/>
        <v/>
      </c>
      <c r="H1986" s="28" t="str">
        <f t="shared" ca="1" si="314"/>
        <v/>
      </c>
      <c r="J1986" s="38" t="str">
        <f t="shared" si="315"/>
        <v xml:space="preserve"> </v>
      </c>
      <c r="K1986" s="39">
        <f t="shared" si="316"/>
        <v>0</v>
      </c>
      <c r="L1986" s="39" t="str">
        <f t="shared" si="317"/>
        <v/>
      </c>
      <c r="M1986" s="40" t="str">
        <f t="shared" si="318"/>
        <v xml:space="preserve"> </v>
      </c>
      <c r="N1986" s="41" t="str">
        <f t="shared" ca="1" si="319"/>
        <v/>
      </c>
      <c r="O1986" s="41" t="str">
        <f t="shared" si="320"/>
        <v xml:space="preserve"> </v>
      </c>
      <c r="P1986" s="60">
        <f t="shared" si="321"/>
        <v>0</v>
      </c>
    </row>
    <row r="1987" spans="1:16" ht="15" customHeight="1">
      <c r="A1987" s="28">
        <v>0</v>
      </c>
      <c r="B1987" s="28" t="s">
        <v>1053</v>
      </c>
      <c r="C1987" s="129" t="s">
        <v>1050</v>
      </c>
      <c r="D1987" s="128">
        <v>0</v>
      </c>
      <c r="E1987" s="128" t="s">
        <v>1050</v>
      </c>
      <c r="F1987" s="29" t="s">
        <v>1050</v>
      </c>
      <c r="G1987" s="56" t="str">
        <f t="shared" ref="G1987:G2020" ca="1" si="322">IFERROR(IF(YEAR(TODAY())-YEAR(F1987)&lt;7," ",IF(YEAR(TODAY())-YEAR(F1987)&lt;10,"Benjamim A",IF(YEAR(TODAY())-YEAR(F1987)&lt;12,"Benjamim B",IF(YEAR(TODAY())-YEAR(F1987)&lt;14,"Infantil",IF(YEAR(TODAY())-YEAR(F1987)&lt;16,"Iniciado",IF(YEAR(TODAY())-YEAR(F1987)&lt;18,"Juvenil",IF(YEAR(TODAY())-YEAR(F1987)&lt;20,"Júnior",IF(YEAR(TODAY())-YEAR(F1987)&lt;23,"sub 23",IF(ROUNDDOWN(INT(TODAY()-F1987)/365.25,0)&lt;35,"Sénior",IF(ROUNDDOWN(INT(TODAY()-F1987)/365.25,0)&lt;40,"V 35",IF(ROUNDDOWN(INT(TODAY()-F1987)/365.25,0)&lt;45,"V 40",IF(ROUNDDOWN(INT(TODAY()-F1987)/365.25,0)&lt;50,"V 45",IF(ROUNDDOWN(INT(TODAY()-F1987)/365.25,0)&lt;55,"V 50",IF(ROUNDDOWN(INT(TODAY()-F1987)/365.25,0)&lt;60,"V 55",IF(ROUNDDOWN(INT(TODAY()-F1987)/365.25,0)&lt;65,"V 60",IF(ROUNDDOWN(INT(TODAY()-F1987)/365.25,0)&lt;70,"V 65",IF(ROUNDDOWN(INT(TODAY()-F1987)/365.25,0)&lt;75,"V 70",IF(ROUNDDOWN(INT(TODAY()-F1987)/365.25,0)&lt;80,"V 75",IF(ROUNDDOWN(INT(TODAY()-F1987)/365.25,0)&lt;85,"V 80",IF(ROUNDDOWN(INT(TODAY()-F1987)/365.25,0)&lt;90,"V 85",IF(ROUNDDOWN(INT(TODAY()-F1987)/365.25,0)&lt;95,"V 90",IF(ROUNDDOWN(INT(TODAY()-F1987)/365.25,0)&lt;100,"V 95",IF(ROUNDDOWN(INT(TODAY()-F1987)/365.25,0)&gt;=100,"V 100",""))))))))))))))))))))))),"")</f>
        <v/>
      </c>
      <c r="H1987" s="28" t="str">
        <f t="shared" ca="1" si="314"/>
        <v/>
      </c>
      <c r="J1987" s="38" t="str">
        <f t="shared" si="315"/>
        <v xml:space="preserve"> </v>
      </c>
      <c r="K1987" s="39">
        <f t="shared" si="316"/>
        <v>0</v>
      </c>
      <c r="L1987" s="39" t="str">
        <f t="shared" si="317"/>
        <v/>
      </c>
      <c r="M1987" s="40" t="str">
        <f t="shared" si="318"/>
        <v xml:space="preserve"> </v>
      </c>
      <c r="N1987" s="41" t="str">
        <f t="shared" ca="1" si="319"/>
        <v/>
      </c>
      <c r="O1987" s="41" t="str">
        <f t="shared" si="320"/>
        <v xml:space="preserve"> </v>
      </c>
      <c r="P1987" s="60">
        <f t="shared" si="321"/>
        <v>0</v>
      </c>
    </row>
    <row r="1988" spans="1:16" ht="15" customHeight="1">
      <c r="A1988" s="28">
        <v>0</v>
      </c>
      <c r="B1988" s="28" t="s">
        <v>1053</v>
      </c>
      <c r="C1988" s="129" t="s">
        <v>1050</v>
      </c>
      <c r="D1988" s="128">
        <v>0</v>
      </c>
      <c r="E1988" s="128" t="s">
        <v>1050</v>
      </c>
      <c r="F1988" s="29" t="s">
        <v>1050</v>
      </c>
      <c r="G1988" s="56" t="str">
        <f t="shared" ca="1" si="322"/>
        <v/>
      </c>
      <c r="H1988" s="28" t="str">
        <f t="shared" ca="1" si="314"/>
        <v/>
      </c>
      <c r="J1988" s="38" t="str">
        <f t="shared" si="315"/>
        <v xml:space="preserve"> </v>
      </c>
      <c r="K1988" s="39">
        <f t="shared" si="316"/>
        <v>0</v>
      </c>
      <c r="L1988" s="39" t="str">
        <f t="shared" si="317"/>
        <v/>
      </c>
      <c r="M1988" s="40" t="str">
        <f t="shared" si="318"/>
        <v xml:space="preserve"> </v>
      </c>
      <c r="N1988" s="41" t="str">
        <f t="shared" ca="1" si="319"/>
        <v/>
      </c>
      <c r="O1988" s="41" t="str">
        <f t="shared" si="320"/>
        <v xml:space="preserve"> </v>
      </c>
      <c r="P1988" s="60">
        <f t="shared" si="321"/>
        <v>0</v>
      </c>
    </row>
    <row r="1989" spans="1:16" ht="15" customHeight="1">
      <c r="A1989" s="28">
        <v>0</v>
      </c>
      <c r="B1989" s="28" t="s">
        <v>1053</v>
      </c>
      <c r="C1989" s="129" t="s">
        <v>1050</v>
      </c>
      <c r="D1989" s="128">
        <v>0</v>
      </c>
      <c r="E1989" s="128" t="s">
        <v>1050</v>
      </c>
      <c r="F1989" s="29" t="s">
        <v>1050</v>
      </c>
      <c r="G1989" s="56" t="str">
        <f t="shared" ca="1" si="322"/>
        <v/>
      </c>
      <c r="H1989" s="28" t="str">
        <f t="shared" ca="1" si="314"/>
        <v/>
      </c>
      <c r="J1989" s="38" t="str">
        <f t="shared" si="315"/>
        <v xml:space="preserve"> </v>
      </c>
      <c r="K1989" s="39">
        <f t="shared" si="316"/>
        <v>0</v>
      </c>
      <c r="L1989" s="39" t="str">
        <f t="shared" si="317"/>
        <v/>
      </c>
      <c r="M1989" s="40" t="str">
        <f t="shared" si="318"/>
        <v xml:space="preserve"> </v>
      </c>
      <c r="N1989" s="41" t="str">
        <f t="shared" ca="1" si="319"/>
        <v/>
      </c>
      <c r="O1989" s="41" t="str">
        <f t="shared" si="320"/>
        <v xml:space="preserve"> </v>
      </c>
      <c r="P1989" s="60">
        <f t="shared" si="321"/>
        <v>0</v>
      </c>
    </row>
    <row r="1990" spans="1:16" ht="15" customHeight="1">
      <c r="A1990" s="28">
        <v>0</v>
      </c>
      <c r="B1990" s="28" t="s">
        <v>1053</v>
      </c>
      <c r="C1990" s="129" t="s">
        <v>1050</v>
      </c>
      <c r="D1990" s="128">
        <v>0</v>
      </c>
      <c r="E1990" s="128" t="s">
        <v>1050</v>
      </c>
      <c r="F1990" s="29" t="s">
        <v>1050</v>
      </c>
      <c r="G1990" s="56" t="str">
        <f t="shared" ca="1" si="322"/>
        <v/>
      </c>
      <c r="H1990" s="28" t="str">
        <f t="shared" ca="1" si="314"/>
        <v/>
      </c>
      <c r="J1990" s="38" t="str">
        <f t="shared" si="315"/>
        <v xml:space="preserve"> </v>
      </c>
      <c r="K1990" s="39">
        <f t="shared" si="316"/>
        <v>0</v>
      </c>
      <c r="L1990" s="39" t="str">
        <f t="shared" si="317"/>
        <v/>
      </c>
      <c r="M1990" s="40" t="str">
        <f t="shared" si="318"/>
        <v xml:space="preserve"> </v>
      </c>
      <c r="N1990" s="41" t="str">
        <f t="shared" ca="1" si="319"/>
        <v/>
      </c>
      <c r="O1990" s="41" t="str">
        <f t="shared" si="320"/>
        <v xml:space="preserve"> </v>
      </c>
      <c r="P1990" s="60">
        <f t="shared" si="321"/>
        <v>0</v>
      </c>
    </row>
    <row r="1991" spans="1:16" ht="15" customHeight="1">
      <c r="A1991" s="28">
        <v>0</v>
      </c>
      <c r="B1991" s="28" t="s">
        <v>1053</v>
      </c>
      <c r="C1991" s="129" t="s">
        <v>1050</v>
      </c>
      <c r="D1991" s="128">
        <v>0</v>
      </c>
      <c r="E1991" s="128" t="s">
        <v>1050</v>
      </c>
      <c r="F1991" s="29" t="s">
        <v>1050</v>
      </c>
      <c r="G1991" s="56" t="str">
        <f t="shared" ca="1" si="322"/>
        <v/>
      </c>
      <c r="H1991" s="28" t="str">
        <f t="shared" ca="1" si="314"/>
        <v/>
      </c>
      <c r="J1991" s="38" t="str">
        <f t="shared" si="315"/>
        <v xml:space="preserve"> </v>
      </c>
      <c r="K1991" s="39">
        <f t="shared" si="316"/>
        <v>0</v>
      </c>
      <c r="L1991" s="39" t="str">
        <f t="shared" si="317"/>
        <v/>
      </c>
      <c r="M1991" s="40" t="str">
        <f t="shared" si="318"/>
        <v xml:space="preserve"> </v>
      </c>
      <c r="N1991" s="41" t="str">
        <f t="shared" ca="1" si="319"/>
        <v/>
      </c>
      <c r="O1991" s="41" t="str">
        <f t="shared" si="320"/>
        <v xml:space="preserve"> </v>
      </c>
      <c r="P1991" s="60">
        <f t="shared" si="321"/>
        <v>0</v>
      </c>
    </row>
    <row r="1992" spans="1:16" ht="15" customHeight="1">
      <c r="A1992" s="28">
        <v>0</v>
      </c>
      <c r="B1992" s="28" t="s">
        <v>1053</v>
      </c>
      <c r="C1992" s="129" t="s">
        <v>1050</v>
      </c>
      <c r="D1992" s="128">
        <v>0</v>
      </c>
      <c r="E1992" s="128" t="s">
        <v>1050</v>
      </c>
      <c r="F1992" s="29" t="s">
        <v>1050</v>
      </c>
      <c r="G1992" s="56" t="str">
        <f t="shared" ca="1" si="322"/>
        <v/>
      </c>
      <c r="H1992" s="28" t="str">
        <f t="shared" ca="1" si="314"/>
        <v/>
      </c>
      <c r="J1992" s="38" t="str">
        <f t="shared" si="315"/>
        <v xml:space="preserve"> </v>
      </c>
      <c r="K1992" s="39">
        <f t="shared" si="316"/>
        <v>0</v>
      </c>
      <c r="L1992" s="39" t="str">
        <f t="shared" si="317"/>
        <v/>
      </c>
      <c r="M1992" s="40" t="str">
        <f t="shared" si="318"/>
        <v xml:space="preserve"> </v>
      </c>
      <c r="N1992" s="41" t="str">
        <f t="shared" ca="1" si="319"/>
        <v/>
      </c>
      <c r="O1992" s="41" t="str">
        <f t="shared" si="320"/>
        <v xml:space="preserve"> </v>
      </c>
      <c r="P1992" s="60">
        <f t="shared" si="321"/>
        <v>0</v>
      </c>
    </row>
    <row r="1993" spans="1:16" ht="15" customHeight="1">
      <c r="A1993" s="28">
        <v>0</v>
      </c>
      <c r="B1993" s="28" t="s">
        <v>1053</v>
      </c>
      <c r="C1993" s="129" t="s">
        <v>1050</v>
      </c>
      <c r="D1993" s="128">
        <v>0</v>
      </c>
      <c r="E1993" s="128" t="s">
        <v>1050</v>
      </c>
      <c r="F1993" s="29" t="s">
        <v>1050</v>
      </c>
      <c r="G1993" s="56" t="str">
        <f t="shared" ca="1" si="322"/>
        <v/>
      </c>
      <c r="H1993" s="28" t="str">
        <f t="shared" ca="1" si="314"/>
        <v/>
      </c>
      <c r="J1993" s="38" t="str">
        <f t="shared" si="315"/>
        <v xml:space="preserve"> </v>
      </c>
      <c r="K1993" s="39">
        <f t="shared" si="316"/>
        <v>0</v>
      </c>
      <c r="L1993" s="39" t="str">
        <f t="shared" si="317"/>
        <v/>
      </c>
      <c r="M1993" s="40" t="str">
        <f t="shared" si="318"/>
        <v xml:space="preserve"> </v>
      </c>
      <c r="N1993" s="41" t="str">
        <f t="shared" ca="1" si="319"/>
        <v/>
      </c>
      <c r="O1993" s="41" t="str">
        <f t="shared" si="320"/>
        <v xml:space="preserve"> </v>
      </c>
      <c r="P1993" s="60">
        <f t="shared" si="321"/>
        <v>0</v>
      </c>
    </row>
    <row r="1994" spans="1:16" ht="15" customHeight="1">
      <c r="A1994" s="28">
        <v>0</v>
      </c>
      <c r="B1994" s="28" t="s">
        <v>1053</v>
      </c>
      <c r="C1994" s="129" t="s">
        <v>1050</v>
      </c>
      <c r="D1994" s="128">
        <v>0</v>
      </c>
      <c r="E1994" s="128" t="s">
        <v>1050</v>
      </c>
      <c r="F1994" s="29" t="s">
        <v>1050</v>
      </c>
      <c r="G1994" s="56" t="str">
        <f t="shared" ca="1" si="322"/>
        <v/>
      </c>
      <c r="H1994" s="28" t="str">
        <f t="shared" ca="1" si="314"/>
        <v/>
      </c>
      <c r="J1994" s="38" t="str">
        <f t="shared" si="315"/>
        <v xml:space="preserve"> </v>
      </c>
      <c r="K1994" s="39">
        <f t="shared" si="316"/>
        <v>0</v>
      </c>
      <c r="L1994" s="39" t="str">
        <f t="shared" si="317"/>
        <v/>
      </c>
      <c r="M1994" s="40" t="str">
        <f t="shared" si="318"/>
        <v xml:space="preserve"> </v>
      </c>
      <c r="N1994" s="41" t="str">
        <f t="shared" ca="1" si="319"/>
        <v/>
      </c>
      <c r="O1994" s="41" t="str">
        <f t="shared" si="320"/>
        <v xml:space="preserve"> </v>
      </c>
      <c r="P1994" s="60">
        <f t="shared" si="321"/>
        <v>0</v>
      </c>
    </row>
    <row r="1995" spans="1:16" ht="15" customHeight="1">
      <c r="A1995" s="28">
        <v>0</v>
      </c>
      <c r="B1995" s="28" t="s">
        <v>1053</v>
      </c>
      <c r="C1995" s="129" t="s">
        <v>1050</v>
      </c>
      <c r="D1995" s="128">
        <v>0</v>
      </c>
      <c r="E1995" s="128" t="s">
        <v>1050</v>
      </c>
      <c r="F1995" s="29" t="s">
        <v>1050</v>
      </c>
      <c r="G1995" s="56" t="str">
        <f t="shared" ca="1" si="322"/>
        <v/>
      </c>
      <c r="H1995" s="28" t="str">
        <f t="shared" ca="1" si="314"/>
        <v/>
      </c>
      <c r="J1995" s="38" t="str">
        <f t="shared" si="315"/>
        <v xml:space="preserve"> </v>
      </c>
      <c r="K1995" s="39">
        <f t="shared" si="316"/>
        <v>0</v>
      </c>
      <c r="L1995" s="39" t="str">
        <f t="shared" si="317"/>
        <v/>
      </c>
      <c r="M1995" s="40" t="str">
        <f t="shared" si="318"/>
        <v xml:space="preserve"> </v>
      </c>
      <c r="N1995" s="41" t="str">
        <f t="shared" ca="1" si="319"/>
        <v/>
      </c>
      <c r="O1995" s="41" t="str">
        <f t="shared" si="320"/>
        <v xml:space="preserve"> </v>
      </c>
      <c r="P1995" s="60">
        <f t="shared" si="321"/>
        <v>0</v>
      </c>
    </row>
    <row r="1996" spans="1:16" ht="15" customHeight="1">
      <c r="A1996" s="28">
        <v>0</v>
      </c>
      <c r="B1996" s="28">
        <v>0</v>
      </c>
      <c r="C1996" s="129" t="s">
        <v>1050</v>
      </c>
      <c r="D1996" s="128">
        <v>0</v>
      </c>
      <c r="E1996" s="128">
        <v>0</v>
      </c>
      <c r="F1996" s="29">
        <v>0</v>
      </c>
      <c r="G1996" s="56" t="str">
        <f t="shared" ca="1" si="322"/>
        <v>V 100</v>
      </c>
      <c r="H1996" s="28" t="str">
        <f t="shared" ca="1" si="314"/>
        <v/>
      </c>
      <c r="J1996" s="38" t="str">
        <f t="shared" si="315"/>
        <v xml:space="preserve"> </v>
      </c>
      <c r="K1996" s="39">
        <f t="shared" si="316"/>
        <v>0</v>
      </c>
      <c r="L1996" s="39">
        <f t="shared" si="317"/>
        <v>0</v>
      </c>
      <c r="M1996" s="40">
        <f t="shared" si="318"/>
        <v>0</v>
      </c>
      <c r="N1996" s="41" t="str">
        <f t="shared" ca="1" si="319"/>
        <v>V 100</v>
      </c>
      <c r="O1996" s="41">
        <f t="shared" si="320"/>
        <v>0</v>
      </c>
      <c r="P1996" s="60">
        <f t="shared" si="321"/>
        <v>0</v>
      </c>
    </row>
    <row r="1997" spans="1:16" ht="15" customHeight="1">
      <c r="A1997" s="28">
        <v>0</v>
      </c>
      <c r="B1997" s="28">
        <v>0</v>
      </c>
      <c r="C1997" s="129" t="s">
        <v>1050</v>
      </c>
      <c r="D1997" s="128">
        <v>0</v>
      </c>
      <c r="E1997" s="128">
        <v>0</v>
      </c>
      <c r="F1997" s="29">
        <v>0</v>
      </c>
      <c r="G1997" s="56" t="str">
        <f t="shared" ca="1" si="322"/>
        <v>V 100</v>
      </c>
      <c r="H1997" s="28" t="str">
        <f t="shared" ca="1" si="314"/>
        <v/>
      </c>
      <c r="J1997" s="38" t="str">
        <f t="shared" si="315"/>
        <v xml:space="preserve"> </v>
      </c>
      <c r="K1997" s="39">
        <f t="shared" si="316"/>
        <v>0</v>
      </c>
      <c r="L1997" s="39">
        <f t="shared" si="317"/>
        <v>0</v>
      </c>
      <c r="M1997" s="40">
        <f t="shared" si="318"/>
        <v>0</v>
      </c>
      <c r="N1997" s="41" t="str">
        <f t="shared" ca="1" si="319"/>
        <v>V 100</v>
      </c>
      <c r="O1997" s="41">
        <f t="shared" si="320"/>
        <v>0</v>
      </c>
      <c r="P1997" s="60">
        <f t="shared" si="321"/>
        <v>0</v>
      </c>
    </row>
    <row r="1998" spans="1:16" ht="15" customHeight="1">
      <c r="A1998" s="28">
        <v>0</v>
      </c>
      <c r="B1998" s="28">
        <v>0</v>
      </c>
      <c r="C1998" s="129" t="s">
        <v>1050</v>
      </c>
      <c r="D1998" s="128">
        <v>0</v>
      </c>
      <c r="E1998" s="128">
        <v>0</v>
      </c>
      <c r="F1998" s="29">
        <v>0</v>
      </c>
      <c r="G1998" s="56" t="str">
        <f t="shared" ca="1" si="322"/>
        <v>V 100</v>
      </c>
      <c r="H1998" s="28" t="str">
        <f t="shared" ca="1" si="314"/>
        <v/>
      </c>
      <c r="J1998" s="38" t="str">
        <f t="shared" si="315"/>
        <v xml:space="preserve"> </v>
      </c>
      <c r="K1998" s="39">
        <f t="shared" si="316"/>
        <v>0</v>
      </c>
      <c r="L1998" s="39">
        <f t="shared" si="317"/>
        <v>0</v>
      </c>
      <c r="M1998" s="40">
        <f t="shared" si="318"/>
        <v>0</v>
      </c>
      <c r="N1998" s="41" t="str">
        <f t="shared" ca="1" si="319"/>
        <v>V 100</v>
      </c>
      <c r="O1998" s="41">
        <f t="shared" si="320"/>
        <v>0</v>
      </c>
      <c r="P1998" s="60">
        <f t="shared" si="321"/>
        <v>0</v>
      </c>
    </row>
    <row r="1999" spans="1:16" ht="15" customHeight="1">
      <c r="A1999" s="28">
        <v>0</v>
      </c>
      <c r="B1999" s="28">
        <v>0</v>
      </c>
      <c r="C1999" s="129" t="s">
        <v>1050</v>
      </c>
      <c r="D1999" s="128">
        <v>0</v>
      </c>
      <c r="E1999" s="128">
        <v>0</v>
      </c>
      <c r="F1999" s="29">
        <v>0</v>
      </c>
      <c r="G1999" s="56" t="str">
        <f t="shared" ca="1" si="322"/>
        <v>V 100</v>
      </c>
      <c r="H1999" s="28" t="str">
        <f t="shared" ca="1" si="314"/>
        <v/>
      </c>
      <c r="J1999" s="38" t="str">
        <f t="shared" si="315"/>
        <v xml:space="preserve"> </v>
      </c>
      <c r="K1999" s="39">
        <f t="shared" si="316"/>
        <v>0</v>
      </c>
      <c r="L1999" s="39">
        <f t="shared" si="317"/>
        <v>0</v>
      </c>
      <c r="M1999" s="40">
        <f t="shared" si="318"/>
        <v>0</v>
      </c>
      <c r="N1999" s="41" t="str">
        <f t="shared" ca="1" si="319"/>
        <v>V 100</v>
      </c>
      <c r="O1999" s="41">
        <f t="shared" si="320"/>
        <v>0</v>
      </c>
      <c r="P1999" s="60">
        <f t="shared" si="321"/>
        <v>0</v>
      </c>
    </row>
    <row r="2000" spans="1:16" ht="15" customHeight="1">
      <c r="A2000" s="28">
        <v>0</v>
      </c>
      <c r="B2000" s="28">
        <v>0</v>
      </c>
      <c r="C2000" s="129" t="s">
        <v>1050</v>
      </c>
      <c r="D2000" s="128">
        <v>0</v>
      </c>
      <c r="E2000" s="128">
        <v>0</v>
      </c>
      <c r="F2000" s="29">
        <v>0</v>
      </c>
      <c r="G2000" s="56" t="str">
        <f t="shared" ca="1" si="322"/>
        <v>V 100</v>
      </c>
      <c r="H2000" s="28" t="str">
        <f t="shared" ca="1" si="314"/>
        <v/>
      </c>
      <c r="J2000" s="38" t="str">
        <f t="shared" si="315"/>
        <v xml:space="preserve"> </v>
      </c>
      <c r="K2000" s="39">
        <f t="shared" si="316"/>
        <v>0</v>
      </c>
      <c r="L2000" s="39">
        <f t="shared" si="317"/>
        <v>0</v>
      </c>
      <c r="M2000" s="40">
        <f t="shared" si="318"/>
        <v>0</v>
      </c>
      <c r="N2000" s="41" t="str">
        <f t="shared" ca="1" si="319"/>
        <v>V 100</v>
      </c>
      <c r="O2000" s="41">
        <f t="shared" si="320"/>
        <v>0</v>
      </c>
      <c r="P2000" s="60">
        <f t="shared" si="321"/>
        <v>0</v>
      </c>
    </row>
    <row r="2001" spans="1:16" ht="15" customHeight="1">
      <c r="A2001" s="28">
        <v>0</v>
      </c>
      <c r="B2001" s="28">
        <v>0</v>
      </c>
      <c r="C2001" s="129" t="s">
        <v>1050</v>
      </c>
      <c r="D2001" s="128">
        <v>0</v>
      </c>
      <c r="E2001" s="128">
        <v>0</v>
      </c>
      <c r="F2001" s="29">
        <v>0</v>
      </c>
      <c r="G2001" s="56" t="str">
        <f t="shared" ca="1" si="322"/>
        <v>V 100</v>
      </c>
      <c r="H2001" s="28" t="str">
        <f t="shared" ref="H2001:H2020" ca="1" si="323">IFERROR(IF($A2001&gt;0,ROUNDDOWN(INT(TODAY()-F2001)/365.25,0),""),"")</f>
        <v/>
      </c>
      <c r="J2001" s="38" t="str">
        <f t="shared" ref="J2001:J2020" si="324">C2001</f>
        <v xml:space="preserve"> </v>
      </c>
      <c r="K2001" s="39">
        <f t="shared" ref="K2001:K2020" si="325">A2001</f>
        <v>0</v>
      </c>
      <c r="L2001" s="39">
        <f t="shared" ref="L2001:L2020" si="326">B2001</f>
        <v>0</v>
      </c>
      <c r="M2001" s="40">
        <f t="shared" ref="M2001:M2020" si="327">F2001</f>
        <v>0</v>
      </c>
      <c r="N2001" s="41" t="str">
        <f t="shared" ref="N2001:N2020" ca="1" si="328">G2001</f>
        <v>V 100</v>
      </c>
      <c r="O2001" s="41">
        <f t="shared" ref="O2001:O2020" si="329">E2001</f>
        <v>0</v>
      </c>
      <c r="P2001" s="60">
        <f t="shared" ref="P2001:P2020" si="330">D2001</f>
        <v>0</v>
      </c>
    </row>
    <row r="2002" spans="1:16" ht="15" customHeight="1">
      <c r="A2002" s="28">
        <v>0</v>
      </c>
      <c r="B2002" s="28">
        <v>0</v>
      </c>
      <c r="C2002" s="129" t="s">
        <v>1050</v>
      </c>
      <c r="D2002" s="128">
        <v>0</v>
      </c>
      <c r="E2002" s="128">
        <v>0</v>
      </c>
      <c r="F2002" s="29">
        <v>0</v>
      </c>
      <c r="G2002" s="56" t="str">
        <f t="shared" ca="1" si="322"/>
        <v>V 100</v>
      </c>
      <c r="H2002" s="28" t="str">
        <f t="shared" ca="1" si="323"/>
        <v/>
      </c>
      <c r="J2002" s="38" t="str">
        <f t="shared" si="324"/>
        <v xml:space="preserve"> </v>
      </c>
      <c r="K2002" s="39">
        <f t="shared" si="325"/>
        <v>0</v>
      </c>
      <c r="L2002" s="39">
        <f t="shared" si="326"/>
        <v>0</v>
      </c>
      <c r="M2002" s="40">
        <f t="shared" si="327"/>
        <v>0</v>
      </c>
      <c r="N2002" s="41" t="str">
        <f t="shared" ca="1" si="328"/>
        <v>V 100</v>
      </c>
      <c r="O2002" s="41">
        <f t="shared" si="329"/>
        <v>0</v>
      </c>
      <c r="P2002" s="60">
        <f t="shared" si="330"/>
        <v>0</v>
      </c>
    </row>
    <row r="2003" spans="1:16" ht="15" customHeight="1">
      <c r="A2003" s="28">
        <v>0</v>
      </c>
      <c r="B2003" s="28">
        <v>0</v>
      </c>
      <c r="C2003" s="129" t="s">
        <v>1050</v>
      </c>
      <c r="D2003" s="128">
        <v>0</v>
      </c>
      <c r="E2003" s="128">
        <v>0</v>
      </c>
      <c r="F2003" s="29">
        <v>0</v>
      </c>
      <c r="G2003" s="56" t="str">
        <f t="shared" ca="1" si="322"/>
        <v>V 100</v>
      </c>
      <c r="H2003" s="28" t="str">
        <f t="shared" ca="1" si="323"/>
        <v/>
      </c>
      <c r="J2003" s="38" t="str">
        <f t="shared" si="324"/>
        <v xml:space="preserve"> </v>
      </c>
      <c r="K2003" s="39">
        <f t="shared" si="325"/>
        <v>0</v>
      </c>
      <c r="L2003" s="39">
        <f t="shared" si="326"/>
        <v>0</v>
      </c>
      <c r="M2003" s="40">
        <f t="shared" si="327"/>
        <v>0</v>
      </c>
      <c r="N2003" s="41" t="str">
        <f t="shared" ca="1" si="328"/>
        <v>V 100</v>
      </c>
      <c r="O2003" s="41">
        <f t="shared" si="329"/>
        <v>0</v>
      </c>
      <c r="P2003" s="60">
        <f t="shared" si="330"/>
        <v>0</v>
      </c>
    </row>
    <row r="2004" spans="1:16" ht="15" customHeight="1">
      <c r="A2004" s="28">
        <v>0</v>
      </c>
      <c r="B2004" s="28">
        <v>0</v>
      </c>
      <c r="C2004" s="129" t="s">
        <v>1050</v>
      </c>
      <c r="D2004" s="128">
        <v>0</v>
      </c>
      <c r="E2004" s="128">
        <v>0</v>
      </c>
      <c r="F2004" s="29">
        <v>0</v>
      </c>
      <c r="G2004" s="56" t="str">
        <f t="shared" ca="1" si="322"/>
        <v>V 100</v>
      </c>
      <c r="H2004" s="28" t="str">
        <f t="shared" ca="1" si="323"/>
        <v/>
      </c>
      <c r="J2004" s="38" t="str">
        <f t="shared" si="324"/>
        <v xml:space="preserve"> </v>
      </c>
      <c r="K2004" s="39">
        <f t="shared" si="325"/>
        <v>0</v>
      </c>
      <c r="L2004" s="39">
        <f t="shared" si="326"/>
        <v>0</v>
      </c>
      <c r="M2004" s="40">
        <f t="shared" si="327"/>
        <v>0</v>
      </c>
      <c r="N2004" s="41" t="str">
        <f t="shared" ca="1" si="328"/>
        <v>V 100</v>
      </c>
      <c r="O2004" s="41">
        <f t="shared" si="329"/>
        <v>0</v>
      </c>
      <c r="P2004" s="60">
        <f t="shared" si="330"/>
        <v>0</v>
      </c>
    </row>
    <row r="2005" spans="1:16" ht="15" customHeight="1">
      <c r="A2005" s="28">
        <v>0</v>
      </c>
      <c r="B2005" s="28">
        <v>0</v>
      </c>
      <c r="C2005" s="129" t="s">
        <v>1050</v>
      </c>
      <c r="D2005" s="128">
        <v>0</v>
      </c>
      <c r="E2005" s="128">
        <v>0</v>
      </c>
      <c r="F2005" s="29">
        <v>0</v>
      </c>
      <c r="G2005" s="56" t="str">
        <f t="shared" ca="1" si="322"/>
        <v>V 100</v>
      </c>
      <c r="H2005" s="28" t="str">
        <f t="shared" ca="1" si="323"/>
        <v/>
      </c>
      <c r="J2005" s="38" t="str">
        <f t="shared" si="324"/>
        <v xml:space="preserve"> </v>
      </c>
      <c r="K2005" s="39">
        <f t="shared" si="325"/>
        <v>0</v>
      </c>
      <c r="L2005" s="39">
        <f t="shared" si="326"/>
        <v>0</v>
      </c>
      <c r="M2005" s="40">
        <f t="shared" si="327"/>
        <v>0</v>
      </c>
      <c r="N2005" s="41" t="str">
        <f t="shared" ca="1" si="328"/>
        <v>V 100</v>
      </c>
      <c r="O2005" s="41">
        <f t="shared" si="329"/>
        <v>0</v>
      </c>
      <c r="P2005" s="60">
        <f t="shared" si="330"/>
        <v>0</v>
      </c>
    </row>
    <row r="2006" spans="1:16" ht="15" customHeight="1">
      <c r="A2006" s="28">
        <v>0</v>
      </c>
      <c r="B2006" s="28">
        <v>0</v>
      </c>
      <c r="C2006" s="129" t="s">
        <v>1050</v>
      </c>
      <c r="D2006" s="128">
        <v>0</v>
      </c>
      <c r="E2006" s="128">
        <v>0</v>
      </c>
      <c r="F2006" s="29">
        <v>0</v>
      </c>
      <c r="G2006" s="56" t="str">
        <f t="shared" ca="1" si="322"/>
        <v>V 100</v>
      </c>
      <c r="H2006" s="28" t="str">
        <f t="shared" ca="1" si="323"/>
        <v/>
      </c>
      <c r="J2006" s="38" t="str">
        <f t="shared" si="324"/>
        <v xml:space="preserve"> </v>
      </c>
      <c r="K2006" s="39">
        <f t="shared" si="325"/>
        <v>0</v>
      </c>
      <c r="L2006" s="39">
        <f t="shared" si="326"/>
        <v>0</v>
      </c>
      <c r="M2006" s="40">
        <f t="shared" si="327"/>
        <v>0</v>
      </c>
      <c r="N2006" s="41" t="str">
        <f t="shared" ca="1" si="328"/>
        <v>V 100</v>
      </c>
      <c r="O2006" s="41">
        <f t="shared" si="329"/>
        <v>0</v>
      </c>
      <c r="P2006" s="60">
        <f t="shared" si="330"/>
        <v>0</v>
      </c>
    </row>
    <row r="2007" spans="1:16" ht="15" customHeight="1">
      <c r="A2007" s="28">
        <v>0</v>
      </c>
      <c r="B2007" s="28">
        <v>0</v>
      </c>
      <c r="C2007" s="129" t="s">
        <v>1050</v>
      </c>
      <c r="D2007" s="128">
        <v>0</v>
      </c>
      <c r="E2007" s="128">
        <v>0</v>
      </c>
      <c r="F2007" s="29">
        <v>0</v>
      </c>
      <c r="G2007" s="56" t="str">
        <f t="shared" ca="1" si="322"/>
        <v>V 100</v>
      </c>
      <c r="H2007" s="28" t="str">
        <f t="shared" ca="1" si="323"/>
        <v/>
      </c>
      <c r="J2007" s="38" t="str">
        <f t="shared" si="324"/>
        <v xml:space="preserve"> </v>
      </c>
      <c r="K2007" s="39">
        <f t="shared" si="325"/>
        <v>0</v>
      </c>
      <c r="L2007" s="39">
        <f t="shared" si="326"/>
        <v>0</v>
      </c>
      <c r="M2007" s="40">
        <f t="shared" si="327"/>
        <v>0</v>
      </c>
      <c r="N2007" s="41" t="str">
        <f t="shared" ca="1" si="328"/>
        <v>V 100</v>
      </c>
      <c r="O2007" s="41">
        <f t="shared" si="329"/>
        <v>0</v>
      </c>
      <c r="P2007" s="60">
        <f t="shared" si="330"/>
        <v>0</v>
      </c>
    </row>
    <row r="2008" spans="1:16" ht="15" customHeight="1">
      <c r="A2008" s="28">
        <v>0</v>
      </c>
      <c r="B2008" s="28">
        <v>0</v>
      </c>
      <c r="C2008" s="129" t="s">
        <v>1050</v>
      </c>
      <c r="D2008" s="128">
        <v>0</v>
      </c>
      <c r="E2008" s="128">
        <v>0</v>
      </c>
      <c r="F2008" s="29">
        <v>0</v>
      </c>
      <c r="G2008" s="56" t="str">
        <f t="shared" ca="1" si="322"/>
        <v>V 100</v>
      </c>
      <c r="H2008" s="28" t="str">
        <f t="shared" ca="1" si="323"/>
        <v/>
      </c>
      <c r="J2008" s="38" t="str">
        <f t="shared" si="324"/>
        <v xml:space="preserve"> </v>
      </c>
      <c r="K2008" s="39">
        <f t="shared" si="325"/>
        <v>0</v>
      </c>
      <c r="L2008" s="39">
        <f t="shared" si="326"/>
        <v>0</v>
      </c>
      <c r="M2008" s="40">
        <f t="shared" si="327"/>
        <v>0</v>
      </c>
      <c r="N2008" s="41" t="str">
        <f t="shared" ca="1" si="328"/>
        <v>V 100</v>
      </c>
      <c r="O2008" s="41">
        <f t="shared" si="329"/>
        <v>0</v>
      </c>
      <c r="P2008" s="60">
        <f t="shared" si="330"/>
        <v>0</v>
      </c>
    </row>
    <row r="2009" spans="1:16" ht="15" customHeight="1">
      <c r="A2009" s="28">
        <v>0</v>
      </c>
      <c r="B2009" s="28">
        <v>0</v>
      </c>
      <c r="C2009" s="129" t="s">
        <v>1050</v>
      </c>
      <c r="D2009" s="128">
        <v>0</v>
      </c>
      <c r="E2009" s="128">
        <v>0</v>
      </c>
      <c r="F2009" s="29">
        <v>0</v>
      </c>
      <c r="G2009" s="56" t="str">
        <f t="shared" ca="1" si="322"/>
        <v>V 100</v>
      </c>
      <c r="H2009" s="28" t="str">
        <f t="shared" ca="1" si="323"/>
        <v/>
      </c>
      <c r="J2009" s="38" t="str">
        <f t="shared" si="324"/>
        <v xml:space="preserve"> </v>
      </c>
      <c r="K2009" s="39">
        <f t="shared" si="325"/>
        <v>0</v>
      </c>
      <c r="L2009" s="39">
        <f t="shared" si="326"/>
        <v>0</v>
      </c>
      <c r="M2009" s="40">
        <f t="shared" si="327"/>
        <v>0</v>
      </c>
      <c r="N2009" s="41" t="str">
        <f t="shared" ca="1" si="328"/>
        <v>V 100</v>
      </c>
      <c r="O2009" s="41">
        <f t="shared" si="329"/>
        <v>0</v>
      </c>
      <c r="P2009" s="60">
        <f t="shared" si="330"/>
        <v>0</v>
      </c>
    </row>
    <row r="2010" spans="1:16" ht="15" customHeight="1">
      <c r="A2010" s="28">
        <v>0</v>
      </c>
      <c r="B2010" s="28">
        <v>0</v>
      </c>
      <c r="C2010" s="129" t="s">
        <v>1050</v>
      </c>
      <c r="D2010" s="128">
        <v>0</v>
      </c>
      <c r="E2010" s="128">
        <v>0</v>
      </c>
      <c r="F2010" s="29">
        <v>0</v>
      </c>
      <c r="G2010" s="56" t="str">
        <f t="shared" ca="1" si="322"/>
        <v>V 100</v>
      </c>
      <c r="H2010" s="28" t="str">
        <f t="shared" ca="1" si="323"/>
        <v/>
      </c>
      <c r="J2010" s="38" t="str">
        <f t="shared" si="324"/>
        <v xml:space="preserve"> </v>
      </c>
      <c r="K2010" s="39">
        <f t="shared" si="325"/>
        <v>0</v>
      </c>
      <c r="L2010" s="39">
        <f t="shared" si="326"/>
        <v>0</v>
      </c>
      <c r="M2010" s="40">
        <f t="shared" si="327"/>
        <v>0</v>
      </c>
      <c r="N2010" s="41" t="str">
        <f t="shared" ca="1" si="328"/>
        <v>V 100</v>
      </c>
      <c r="O2010" s="41">
        <f t="shared" si="329"/>
        <v>0</v>
      </c>
      <c r="P2010" s="60">
        <f t="shared" si="330"/>
        <v>0</v>
      </c>
    </row>
    <row r="2011" spans="1:16" ht="15" customHeight="1">
      <c r="A2011" s="28">
        <v>0</v>
      </c>
      <c r="B2011" s="28">
        <v>0</v>
      </c>
      <c r="C2011" s="129" t="s">
        <v>1050</v>
      </c>
      <c r="D2011" s="128">
        <v>0</v>
      </c>
      <c r="E2011" s="128">
        <v>0</v>
      </c>
      <c r="F2011" s="29">
        <v>0</v>
      </c>
      <c r="G2011" s="56" t="str">
        <f t="shared" ca="1" si="322"/>
        <v>V 100</v>
      </c>
      <c r="H2011" s="28" t="str">
        <f t="shared" ca="1" si="323"/>
        <v/>
      </c>
      <c r="J2011" s="38" t="str">
        <f t="shared" si="324"/>
        <v xml:space="preserve"> </v>
      </c>
      <c r="K2011" s="39">
        <f t="shared" si="325"/>
        <v>0</v>
      </c>
      <c r="L2011" s="39">
        <f t="shared" si="326"/>
        <v>0</v>
      </c>
      <c r="M2011" s="40">
        <f t="shared" si="327"/>
        <v>0</v>
      </c>
      <c r="N2011" s="41" t="str">
        <f t="shared" ca="1" si="328"/>
        <v>V 100</v>
      </c>
      <c r="O2011" s="41">
        <f t="shared" si="329"/>
        <v>0</v>
      </c>
      <c r="P2011" s="60">
        <f t="shared" si="330"/>
        <v>0</v>
      </c>
    </row>
    <row r="2012" spans="1:16" ht="15" customHeight="1">
      <c r="A2012" s="28">
        <v>0</v>
      </c>
      <c r="B2012" s="28">
        <v>0</v>
      </c>
      <c r="C2012" s="129" t="s">
        <v>1050</v>
      </c>
      <c r="D2012" s="128">
        <v>0</v>
      </c>
      <c r="E2012" s="128">
        <v>0</v>
      </c>
      <c r="F2012" s="29">
        <v>0</v>
      </c>
      <c r="G2012" s="56" t="str">
        <f t="shared" ca="1" si="322"/>
        <v>V 100</v>
      </c>
      <c r="H2012" s="28" t="str">
        <f t="shared" ca="1" si="323"/>
        <v/>
      </c>
      <c r="J2012" s="38" t="str">
        <f t="shared" si="324"/>
        <v xml:space="preserve"> </v>
      </c>
      <c r="K2012" s="39">
        <f t="shared" si="325"/>
        <v>0</v>
      </c>
      <c r="L2012" s="39">
        <f t="shared" si="326"/>
        <v>0</v>
      </c>
      <c r="M2012" s="40">
        <f t="shared" si="327"/>
        <v>0</v>
      </c>
      <c r="N2012" s="41" t="str">
        <f t="shared" ca="1" si="328"/>
        <v>V 100</v>
      </c>
      <c r="O2012" s="41">
        <f t="shared" si="329"/>
        <v>0</v>
      </c>
      <c r="P2012" s="60">
        <f t="shared" si="330"/>
        <v>0</v>
      </c>
    </row>
    <row r="2013" spans="1:16" ht="15" customHeight="1">
      <c r="A2013" s="28">
        <v>0</v>
      </c>
      <c r="B2013" s="28">
        <v>0</v>
      </c>
      <c r="C2013" s="129" t="s">
        <v>1050</v>
      </c>
      <c r="D2013" s="128">
        <v>0</v>
      </c>
      <c r="E2013" s="128">
        <v>0</v>
      </c>
      <c r="F2013" s="29">
        <v>0</v>
      </c>
      <c r="G2013" s="56" t="str">
        <f t="shared" ca="1" si="322"/>
        <v>V 100</v>
      </c>
      <c r="H2013" s="28" t="str">
        <f t="shared" ca="1" si="323"/>
        <v/>
      </c>
      <c r="J2013" s="38" t="str">
        <f t="shared" si="324"/>
        <v xml:space="preserve"> </v>
      </c>
      <c r="K2013" s="39">
        <f t="shared" si="325"/>
        <v>0</v>
      </c>
      <c r="L2013" s="39">
        <f t="shared" si="326"/>
        <v>0</v>
      </c>
      <c r="M2013" s="40">
        <f t="shared" si="327"/>
        <v>0</v>
      </c>
      <c r="N2013" s="41" t="str">
        <f t="shared" ca="1" si="328"/>
        <v>V 100</v>
      </c>
      <c r="O2013" s="41">
        <f t="shared" si="329"/>
        <v>0</v>
      </c>
      <c r="P2013" s="60">
        <f t="shared" si="330"/>
        <v>0</v>
      </c>
    </row>
    <row r="2014" spans="1:16" ht="15" customHeight="1">
      <c r="A2014" s="28">
        <v>0</v>
      </c>
      <c r="B2014" s="28">
        <v>0</v>
      </c>
      <c r="C2014" s="129" t="s">
        <v>1050</v>
      </c>
      <c r="D2014" s="128">
        <v>0</v>
      </c>
      <c r="E2014" s="128">
        <v>0</v>
      </c>
      <c r="F2014" s="29">
        <v>0</v>
      </c>
      <c r="G2014" s="56" t="str">
        <f t="shared" ca="1" si="322"/>
        <v>V 100</v>
      </c>
      <c r="H2014" s="28" t="str">
        <f t="shared" ca="1" si="323"/>
        <v/>
      </c>
      <c r="J2014" s="38" t="str">
        <f t="shared" si="324"/>
        <v xml:space="preserve"> </v>
      </c>
      <c r="K2014" s="39">
        <f t="shared" si="325"/>
        <v>0</v>
      </c>
      <c r="L2014" s="39">
        <f t="shared" si="326"/>
        <v>0</v>
      </c>
      <c r="M2014" s="40">
        <f t="shared" si="327"/>
        <v>0</v>
      </c>
      <c r="N2014" s="41" t="str">
        <f t="shared" ca="1" si="328"/>
        <v>V 100</v>
      </c>
      <c r="O2014" s="41">
        <f t="shared" si="329"/>
        <v>0</v>
      </c>
      <c r="P2014" s="60">
        <f t="shared" si="330"/>
        <v>0</v>
      </c>
    </row>
    <row r="2015" spans="1:16" ht="15" customHeight="1">
      <c r="A2015" s="28">
        <v>0</v>
      </c>
      <c r="B2015" s="28">
        <v>0</v>
      </c>
      <c r="C2015" s="129" t="s">
        <v>1050</v>
      </c>
      <c r="D2015" s="128">
        <v>0</v>
      </c>
      <c r="E2015" s="128">
        <v>0</v>
      </c>
      <c r="F2015" s="29">
        <v>0</v>
      </c>
      <c r="G2015" s="56" t="str">
        <f t="shared" ca="1" si="322"/>
        <v>V 100</v>
      </c>
      <c r="H2015" s="28" t="str">
        <f t="shared" ca="1" si="323"/>
        <v/>
      </c>
      <c r="J2015" s="38" t="str">
        <f t="shared" si="324"/>
        <v xml:space="preserve"> </v>
      </c>
      <c r="K2015" s="39">
        <f t="shared" si="325"/>
        <v>0</v>
      </c>
      <c r="L2015" s="39">
        <f t="shared" si="326"/>
        <v>0</v>
      </c>
      <c r="M2015" s="40">
        <f t="shared" si="327"/>
        <v>0</v>
      </c>
      <c r="N2015" s="41" t="str">
        <f t="shared" ca="1" si="328"/>
        <v>V 100</v>
      </c>
      <c r="O2015" s="41">
        <f t="shared" si="329"/>
        <v>0</v>
      </c>
      <c r="P2015" s="60">
        <f t="shared" si="330"/>
        <v>0</v>
      </c>
    </row>
    <row r="2016" spans="1:16" ht="15" customHeight="1">
      <c r="A2016" s="28">
        <v>0</v>
      </c>
      <c r="B2016" s="28">
        <v>0</v>
      </c>
      <c r="C2016" s="129" t="s">
        <v>1050</v>
      </c>
      <c r="D2016" s="128">
        <v>0</v>
      </c>
      <c r="E2016" s="128">
        <v>0</v>
      </c>
      <c r="F2016" s="29">
        <v>0</v>
      </c>
      <c r="G2016" s="56" t="str">
        <f t="shared" ca="1" si="322"/>
        <v>V 100</v>
      </c>
      <c r="H2016" s="28" t="str">
        <f t="shared" ca="1" si="323"/>
        <v/>
      </c>
      <c r="J2016" s="38" t="str">
        <f t="shared" si="324"/>
        <v xml:space="preserve"> </v>
      </c>
      <c r="K2016" s="39">
        <f t="shared" si="325"/>
        <v>0</v>
      </c>
      <c r="L2016" s="39">
        <f t="shared" si="326"/>
        <v>0</v>
      </c>
      <c r="M2016" s="40">
        <f t="shared" si="327"/>
        <v>0</v>
      </c>
      <c r="N2016" s="41" t="str">
        <f t="shared" ca="1" si="328"/>
        <v>V 100</v>
      </c>
      <c r="O2016" s="41">
        <f t="shared" si="329"/>
        <v>0</v>
      </c>
      <c r="P2016" s="60">
        <f t="shared" si="330"/>
        <v>0</v>
      </c>
    </row>
    <row r="2017" spans="1:16" ht="15" customHeight="1">
      <c r="A2017" s="28">
        <v>0</v>
      </c>
      <c r="B2017" s="28">
        <v>0</v>
      </c>
      <c r="C2017" s="129" t="s">
        <v>1050</v>
      </c>
      <c r="D2017" s="128">
        <v>0</v>
      </c>
      <c r="E2017" s="128">
        <v>0</v>
      </c>
      <c r="F2017" s="29">
        <v>0</v>
      </c>
      <c r="G2017" s="56" t="str">
        <f t="shared" ca="1" si="322"/>
        <v>V 100</v>
      </c>
      <c r="H2017" s="28" t="str">
        <f t="shared" ca="1" si="323"/>
        <v/>
      </c>
      <c r="J2017" s="38" t="str">
        <f t="shared" si="324"/>
        <v xml:space="preserve"> </v>
      </c>
      <c r="K2017" s="39">
        <f t="shared" si="325"/>
        <v>0</v>
      </c>
      <c r="L2017" s="39">
        <f t="shared" si="326"/>
        <v>0</v>
      </c>
      <c r="M2017" s="40">
        <f t="shared" si="327"/>
        <v>0</v>
      </c>
      <c r="N2017" s="41" t="str">
        <f t="shared" ca="1" si="328"/>
        <v>V 100</v>
      </c>
      <c r="O2017" s="41">
        <f t="shared" si="329"/>
        <v>0</v>
      </c>
      <c r="P2017" s="60">
        <f t="shared" si="330"/>
        <v>0</v>
      </c>
    </row>
    <row r="2018" spans="1:16" ht="15" customHeight="1">
      <c r="A2018" s="28">
        <v>0</v>
      </c>
      <c r="B2018" s="28">
        <v>0</v>
      </c>
      <c r="C2018" s="129" t="s">
        <v>1050</v>
      </c>
      <c r="D2018" s="128">
        <v>0</v>
      </c>
      <c r="E2018" s="128">
        <v>0</v>
      </c>
      <c r="F2018" s="29">
        <v>0</v>
      </c>
      <c r="G2018" s="56" t="str">
        <f t="shared" ca="1" si="322"/>
        <v>V 100</v>
      </c>
      <c r="H2018" s="28" t="str">
        <f t="shared" ca="1" si="323"/>
        <v/>
      </c>
      <c r="J2018" s="38" t="str">
        <f t="shared" si="324"/>
        <v xml:space="preserve"> </v>
      </c>
      <c r="K2018" s="39">
        <f t="shared" si="325"/>
        <v>0</v>
      </c>
      <c r="L2018" s="39">
        <f t="shared" si="326"/>
        <v>0</v>
      </c>
      <c r="M2018" s="40">
        <f t="shared" si="327"/>
        <v>0</v>
      </c>
      <c r="N2018" s="41" t="str">
        <f t="shared" ca="1" si="328"/>
        <v>V 100</v>
      </c>
      <c r="O2018" s="41">
        <f t="shared" si="329"/>
        <v>0</v>
      </c>
      <c r="P2018" s="60">
        <f t="shared" si="330"/>
        <v>0</v>
      </c>
    </row>
    <row r="2019" spans="1:16" ht="15" customHeight="1">
      <c r="A2019" s="28">
        <v>0</v>
      </c>
      <c r="B2019" s="28">
        <v>0</v>
      </c>
      <c r="C2019" s="129" t="s">
        <v>1050</v>
      </c>
      <c r="D2019" s="128">
        <v>0</v>
      </c>
      <c r="E2019" s="128">
        <v>0</v>
      </c>
      <c r="F2019" s="29">
        <v>0</v>
      </c>
      <c r="G2019" s="56" t="str">
        <f t="shared" ca="1" si="322"/>
        <v>V 100</v>
      </c>
      <c r="H2019" s="28" t="str">
        <f t="shared" ca="1" si="323"/>
        <v/>
      </c>
      <c r="J2019" s="38" t="str">
        <f t="shared" si="324"/>
        <v xml:space="preserve"> </v>
      </c>
      <c r="K2019" s="39">
        <f t="shared" si="325"/>
        <v>0</v>
      </c>
      <c r="L2019" s="39">
        <f t="shared" si="326"/>
        <v>0</v>
      </c>
      <c r="M2019" s="40">
        <f t="shared" si="327"/>
        <v>0</v>
      </c>
      <c r="N2019" s="41" t="str">
        <f t="shared" ca="1" si="328"/>
        <v>V 100</v>
      </c>
      <c r="O2019" s="41">
        <f t="shared" si="329"/>
        <v>0</v>
      </c>
      <c r="P2019" s="60">
        <f t="shared" si="330"/>
        <v>0</v>
      </c>
    </row>
    <row r="2020" spans="1:16" ht="15" customHeight="1">
      <c r="A2020" s="28">
        <v>0</v>
      </c>
      <c r="B2020" s="28">
        <v>0</v>
      </c>
      <c r="C2020" s="129" t="s">
        <v>1050</v>
      </c>
      <c r="D2020" s="128">
        <v>0</v>
      </c>
      <c r="E2020" s="128">
        <v>0</v>
      </c>
      <c r="F2020" s="29">
        <v>0</v>
      </c>
      <c r="G2020" s="56" t="str">
        <f t="shared" ca="1" si="322"/>
        <v>V 100</v>
      </c>
      <c r="H2020" s="28" t="str">
        <f t="shared" ca="1" si="323"/>
        <v/>
      </c>
      <c r="J2020" s="38" t="str">
        <f t="shared" si="324"/>
        <v xml:space="preserve"> </v>
      </c>
      <c r="K2020" s="39">
        <f t="shared" si="325"/>
        <v>0</v>
      </c>
      <c r="L2020" s="39">
        <f t="shared" si="326"/>
        <v>0</v>
      </c>
      <c r="M2020" s="40">
        <f t="shared" si="327"/>
        <v>0</v>
      </c>
      <c r="N2020" s="41" t="str">
        <f t="shared" ca="1" si="328"/>
        <v>V 100</v>
      </c>
      <c r="O2020" s="41">
        <f t="shared" si="329"/>
        <v>0</v>
      </c>
      <c r="P2020" s="60">
        <f t="shared" si="330"/>
        <v>0</v>
      </c>
    </row>
  </sheetData>
  <sheetProtection selectLockedCells="1" sort="0" autoFilter="0"/>
  <autoFilter ref="A1:G1500" xr:uid="{00000000-0009-0000-0000-000003000000}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K171"/>
  <sheetViews>
    <sheetView workbookViewId="0">
      <selection activeCell="R19" sqref="R19"/>
    </sheetView>
  </sheetViews>
  <sheetFormatPr baseColWidth="10" defaultRowHeight="13"/>
  <cols>
    <col min="1" max="1" width="19.33203125" bestFit="1" customWidth="1"/>
    <col min="2" max="2" width="9.1640625" bestFit="1" customWidth="1"/>
    <col min="3" max="7" width="1.83203125" customWidth="1"/>
    <col min="8" max="8" width="19.33203125" bestFit="1" customWidth="1"/>
    <col min="9" max="9" width="9.1640625" bestFit="1" customWidth="1"/>
    <col min="10" max="14" width="1.83203125" customWidth="1"/>
    <col min="15" max="15" width="20.83203125" bestFit="1" customWidth="1"/>
    <col min="16" max="16" width="7.1640625" bestFit="1" customWidth="1"/>
    <col min="17" max="21" width="1.83203125" customWidth="1"/>
    <col min="22" max="22" width="19.5" bestFit="1" customWidth="1"/>
    <col min="23" max="23" width="10.6640625" bestFit="1" customWidth="1"/>
    <col min="24" max="28" width="1.83203125" customWidth="1"/>
    <col min="29" max="29" width="22" bestFit="1" customWidth="1"/>
    <col min="30" max="30" width="7.33203125" bestFit="1" customWidth="1"/>
    <col min="31" max="35" width="1.83203125" customWidth="1"/>
    <col min="36" max="36" width="12.6640625" bestFit="1" customWidth="1"/>
    <col min="37" max="37" width="7" bestFit="1" customWidth="1"/>
    <col min="38" max="42" width="1.83203125" customWidth="1"/>
    <col min="43" max="43" width="22.5" bestFit="1" customWidth="1"/>
    <col min="44" max="44" width="9.5" bestFit="1" customWidth="1"/>
    <col min="45" max="49" width="1.83203125" customWidth="1"/>
    <col min="50" max="50" width="22.83203125" bestFit="1" customWidth="1"/>
    <col min="51" max="51" width="7.1640625" customWidth="1"/>
    <col min="52" max="56" width="1.83203125" customWidth="1"/>
    <col min="57" max="57" width="20.6640625" bestFit="1" customWidth="1"/>
    <col min="58" max="58" width="9.1640625" bestFit="1" customWidth="1"/>
    <col min="59" max="63" width="1.83203125" customWidth="1"/>
    <col min="64" max="64" width="18.1640625" bestFit="1" customWidth="1"/>
    <col min="65" max="65" width="10.1640625" bestFit="1" customWidth="1"/>
    <col min="66" max="70" width="1.83203125" customWidth="1"/>
    <col min="71" max="71" width="12.6640625" bestFit="1" customWidth="1"/>
    <col min="72" max="72" width="7.6640625" bestFit="1" customWidth="1"/>
    <col min="73" max="77" width="1.83203125" customWidth="1"/>
    <col min="78" max="78" width="12.6640625" bestFit="1" customWidth="1"/>
    <col min="79" max="79" width="8.1640625" bestFit="1" customWidth="1"/>
    <col min="80" max="84" width="1.83203125" customWidth="1"/>
    <col min="85" max="85" width="21.83203125" bestFit="1" customWidth="1"/>
    <col min="86" max="86" width="8.1640625" bestFit="1" customWidth="1"/>
    <col min="87" max="91" width="1.83203125" customWidth="1"/>
    <col min="92" max="92" width="18.83203125" bestFit="1" customWidth="1"/>
    <col min="93" max="93" width="9.6640625" bestFit="1" customWidth="1"/>
    <col min="94" max="98" width="1.83203125" customWidth="1"/>
    <col min="99" max="99" width="21.6640625" bestFit="1" customWidth="1"/>
    <col min="100" max="100" width="10.6640625" bestFit="1" customWidth="1"/>
    <col min="101" max="105" width="1.83203125" customWidth="1"/>
    <col min="106" max="106" width="21.33203125" bestFit="1" customWidth="1"/>
    <col min="107" max="107" width="10.33203125" bestFit="1" customWidth="1"/>
    <col min="108" max="112" width="1.83203125" customWidth="1"/>
    <col min="113" max="113" width="12.6640625" bestFit="1" customWidth="1"/>
    <col min="114" max="114" width="7.5" bestFit="1" customWidth="1"/>
    <col min="115" max="119" width="1.83203125" customWidth="1"/>
    <col min="120" max="120" width="20.1640625" bestFit="1" customWidth="1"/>
    <col min="121" max="121" width="9.6640625" bestFit="1" customWidth="1"/>
    <col min="122" max="126" width="1.83203125" customWidth="1"/>
    <col min="127" max="127" width="18.6640625" bestFit="1" customWidth="1"/>
    <col min="128" max="128" width="9.5" bestFit="1" customWidth="1"/>
    <col min="129" max="133" width="1.83203125" customWidth="1"/>
    <col min="134" max="134" width="21.1640625" bestFit="1" customWidth="1"/>
    <col min="135" max="135" width="8.33203125" bestFit="1" customWidth="1"/>
    <col min="136" max="140" width="1.83203125" customWidth="1"/>
    <col min="141" max="141" width="12.6640625" bestFit="1" customWidth="1"/>
    <col min="142" max="142" width="7" bestFit="1" customWidth="1"/>
    <col min="143" max="147" width="1.83203125" customWidth="1"/>
    <col min="148" max="148" width="21.6640625" bestFit="1" customWidth="1"/>
    <col min="149" max="149" width="7.33203125" bestFit="1" customWidth="1"/>
    <col min="150" max="154" width="1.83203125" customWidth="1"/>
    <col min="155" max="155" width="21.33203125" bestFit="1" customWidth="1"/>
    <col min="156" max="156" width="8.33203125" bestFit="1" customWidth="1"/>
    <col min="157" max="161" width="1.83203125" customWidth="1"/>
    <col min="162" max="162" width="19.5" bestFit="1" customWidth="1"/>
    <col min="163" max="163" width="8.5" bestFit="1" customWidth="1"/>
    <col min="164" max="168" width="1.83203125" customWidth="1"/>
    <col min="169" max="169" width="12.6640625" bestFit="1" customWidth="1"/>
    <col min="170" max="170" width="7.6640625" bestFit="1" customWidth="1"/>
    <col min="171" max="175" width="1.83203125" customWidth="1"/>
    <col min="176" max="176" width="21.6640625" bestFit="1" customWidth="1"/>
    <col min="177" max="177" width="9" bestFit="1" customWidth="1"/>
    <col min="178" max="182" width="1.83203125" customWidth="1"/>
    <col min="183" max="183" width="19.1640625" bestFit="1" customWidth="1"/>
    <col min="184" max="184" width="8.33203125" bestFit="1" customWidth="1"/>
    <col min="185" max="189" width="1.83203125" customWidth="1"/>
    <col min="190" max="190" width="21" bestFit="1" customWidth="1"/>
    <col min="191" max="191" width="8.83203125" bestFit="1" customWidth="1"/>
    <col min="192" max="196" width="1.83203125" customWidth="1"/>
    <col min="197" max="197" width="21" bestFit="1" customWidth="1"/>
    <col min="198" max="198" width="10.5" bestFit="1" customWidth="1"/>
    <col min="199" max="203" width="1.83203125" customWidth="1"/>
    <col min="204" max="204" width="18.83203125" bestFit="1" customWidth="1"/>
    <col min="205" max="205" width="7.1640625" bestFit="1" customWidth="1"/>
    <col min="206" max="210" width="1.83203125" customWidth="1"/>
    <col min="211" max="211" width="24.1640625" bestFit="1" customWidth="1"/>
    <col min="212" max="212" width="8.5" bestFit="1" customWidth="1"/>
    <col min="213" max="217" width="1.83203125" customWidth="1"/>
    <col min="218" max="218" width="12.6640625" bestFit="1" customWidth="1"/>
    <col min="219" max="219" width="7.33203125" bestFit="1" customWidth="1"/>
    <col min="220" max="224" width="1.83203125" customWidth="1"/>
    <col min="225" max="225" width="21.83203125" bestFit="1" customWidth="1"/>
    <col min="226" max="226" width="8.33203125" bestFit="1" customWidth="1"/>
    <col min="227" max="231" width="1.83203125" customWidth="1"/>
    <col min="232" max="232" width="21.6640625" bestFit="1" customWidth="1"/>
    <col min="233" max="233" width="8.1640625" bestFit="1" customWidth="1"/>
    <col min="234" max="238" width="1.83203125" customWidth="1"/>
    <col min="239" max="239" width="20.83203125" bestFit="1" customWidth="1"/>
    <col min="240" max="240" width="9" bestFit="1" customWidth="1"/>
    <col min="241" max="245" width="1.83203125" customWidth="1"/>
    <col min="246" max="246" width="20.1640625" bestFit="1" customWidth="1"/>
    <col min="247" max="247" width="8.5" bestFit="1" customWidth="1"/>
    <col min="248" max="252" width="1.83203125" customWidth="1"/>
    <col min="253" max="253" width="15.1640625" bestFit="1" customWidth="1"/>
    <col min="254" max="254" width="8.1640625" bestFit="1" customWidth="1"/>
    <col min="255" max="259" width="1.83203125" customWidth="1"/>
    <col min="260" max="260" width="22" bestFit="1" customWidth="1"/>
    <col min="261" max="261" width="7.33203125" bestFit="1" customWidth="1"/>
    <col min="262" max="266" width="1.83203125" customWidth="1"/>
    <col min="267" max="267" width="20.33203125" bestFit="1" customWidth="1"/>
    <col min="268" max="268" width="8.5" bestFit="1" customWidth="1"/>
    <col min="269" max="273" width="1.83203125" customWidth="1"/>
    <col min="274" max="274" width="20.5" bestFit="1" customWidth="1"/>
    <col min="275" max="275" width="9.1640625" bestFit="1" customWidth="1"/>
    <col min="276" max="280" width="1.83203125" customWidth="1"/>
    <col min="281" max="281" width="21" bestFit="1" customWidth="1"/>
    <col min="282" max="282" width="7.33203125" bestFit="1" customWidth="1"/>
    <col min="283" max="287" width="1.83203125" customWidth="1"/>
    <col min="288" max="288" width="23.1640625" bestFit="1" customWidth="1"/>
    <col min="289" max="289" width="8.5" bestFit="1" customWidth="1"/>
    <col min="290" max="294" width="1.83203125" customWidth="1"/>
    <col min="295" max="295" width="20.83203125" bestFit="1" customWidth="1"/>
    <col min="296" max="296" width="8.33203125" bestFit="1" customWidth="1"/>
    <col min="297" max="301" width="1.83203125" customWidth="1"/>
    <col min="302" max="302" width="19.1640625" bestFit="1" customWidth="1"/>
    <col min="303" max="303" width="6.83203125" bestFit="1" customWidth="1"/>
    <col min="304" max="308" width="1.83203125" customWidth="1"/>
    <col min="309" max="309" width="12.6640625" bestFit="1" customWidth="1"/>
    <col min="310" max="310" width="7" bestFit="1" customWidth="1"/>
    <col min="311" max="315" width="1.83203125" customWidth="1"/>
    <col min="316" max="316" width="21.33203125" bestFit="1" customWidth="1"/>
    <col min="317" max="317" width="9" bestFit="1" customWidth="1"/>
    <col min="318" max="322" width="1.83203125" customWidth="1"/>
    <col min="323" max="323" width="20.83203125" bestFit="1" customWidth="1"/>
    <col min="324" max="324" width="9.83203125" bestFit="1" customWidth="1"/>
    <col min="325" max="329" width="1.83203125" customWidth="1"/>
    <col min="330" max="330" width="17.1640625" bestFit="1" customWidth="1"/>
    <col min="331" max="331" width="8.83203125" bestFit="1" customWidth="1"/>
    <col min="332" max="336" width="1.83203125" customWidth="1"/>
    <col min="337" max="337" width="20.1640625" bestFit="1" customWidth="1"/>
    <col min="338" max="338" width="7" bestFit="1" customWidth="1"/>
    <col min="339" max="343" width="1.83203125" customWidth="1"/>
    <col min="344" max="344" width="12.6640625" bestFit="1" customWidth="1"/>
    <col min="345" max="345" width="5" bestFit="1" customWidth="1"/>
    <col min="346" max="350" width="1.83203125" customWidth="1"/>
    <col min="351" max="351" width="12.6640625" bestFit="1" customWidth="1"/>
    <col min="352" max="352" width="7.6640625" bestFit="1" customWidth="1"/>
    <col min="353" max="357" width="1.83203125" customWidth="1"/>
    <col min="358" max="358" width="20" bestFit="1" customWidth="1"/>
    <col min="359" max="359" width="8.83203125" bestFit="1" customWidth="1"/>
    <col min="360" max="364" width="1.83203125" customWidth="1"/>
    <col min="365" max="365" width="21.83203125" bestFit="1" customWidth="1"/>
    <col min="366" max="366" width="9.1640625" bestFit="1" customWidth="1"/>
    <col min="367" max="371" width="1.83203125" customWidth="1"/>
    <col min="372" max="372" width="12.6640625" bestFit="1" customWidth="1"/>
    <col min="373" max="373" width="5.83203125" bestFit="1" customWidth="1"/>
    <col min="374" max="378" width="1.83203125" customWidth="1"/>
    <col min="379" max="379" width="12.6640625" bestFit="1" customWidth="1"/>
    <col min="380" max="380" width="8.1640625" bestFit="1" customWidth="1"/>
    <col min="381" max="385" width="1.83203125" customWidth="1"/>
    <col min="386" max="386" width="21.33203125" bestFit="1" customWidth="1"/>
    <col min="387" max="387" width="9.33203125" bestFit="1" customWidth="1"/>
    <col min="388" max="392" width="1.83203125" customWidth="1"/>
    <col min="393" max="393" width="22" bestFit="1" customWidth="1"/>
    <col min="394" max="394" width="9.1640625" bestFit="1" customWidth="1"/>
    <col min="395" max="399" width="1.83203125" customWidth="1"/>
    <col min="400" max="400" width="21.83203125" bestFit="1" customWidth="1"/>
    <col min="401" max="401" width="8.1640625" bestFit="1" customWidth="1"/>
    <col min="402" max="406" width="1.83203125" customWidth="1"/>
    <col min="407" max="496" width="4.1640625" customWidth="1"/>
    <col min="497" max="946" width="5.1640625" customWidth="1"/>
    <col min="947" max="947" width="4.1640625" customWidth="1"/>
    <col min="948" max="948" width="6.33203125" customWidth="1"/>
    <col min="949" max="949" width="10" customWidth="1"/>
  </cols>
  <sheetData>
    <row r="1" spans="1:401" ht="14" customHeight="1">
      <c r="A1" s="62" t="s">
        <v>3</v>
      </c>
      <c r="B1" t="s">
        <v>954</v>
      </c>
      <c r="H1" s="62" t="s">
        <v>3</v>
      </c>
      <c r="I1" t="s">
        <v>796</v>
      </c>
      <c r="O1" s="62" t="s">
        <v>3</v>
      </c>
      <c r="P1" t="s">
        <v>1236</v>
      </c>
      <c r="V1" s="62" t="s">
        <v>3</v>
      </c>
      <c r="W1" t="s">
        <v>1042</v>
      </c>
      <c r="AC1" s="62" t="s">
        <v>3</v>
      </c>
      <c r="AD1" t="s">
        <v>159</v>
      </c>
      <c r="AJ1" s="62" t="s">
        <v>3</v>
      </c>
      <c r="AK1" s="63">
        <v>0</v>
      </c>
      <c r="AQ1" s="62" t="s">
        <v>3</v>
      </c>
      <c r="AR1" t="s">
        <v>97</v>
      </c>
      <c r="AX1" s="62" t="s">
        <v>3</v>
      </c>
      <c r="AY1" t="s">
        <v>123</v>
      </c>
      <c r="BE1" s="62" t="s">
        <v>3</v>
      </c>
      <c r="BF1" t="s">
        <v>509</v>
      </c>
      <c r="BL1" s="62" t="s">
        <v>3</v>
      </c>
      <c r="BM1" t="s">
        <v>152</v>
      </c>
      <c r="BS1" s="62" t="s">
        <v>3</v>
      </c>
      <c r="BT1" s="63">
        <v>0</v>
      </c>
      <c r="BZ1" s="62" t="s">
        <v>3</v>
      </c>
      <c r="CA1" s="63">
        <v>0</v>
      </c>
      <c r="CG1" s="62" t="s">
        <v>3</v>
      </c>
      <c r="CH1" t="s">
        <v>143</v>
      </c>
      <c r="CN1" s="62" t="s">
        <v>3</v>
      </c>
      <c r="CO1" t="s">
        <v>158</v>
      </c>
      <c r="CU1" s="62" t="s">
        <v>3</v>
      </c>
      <c r="CV1" t="s">
        <v>156</v>
      </c>
      <c r="DB1" s="62" t="s">
        <v>3</v>
      </c>
      <c r="DC1" t="s">
        <v>170</v>
      </c>
      <c r="DI1" s="62" t="s">
        <v>3</v>
      </c>
      <c r="DJ1" s="63">
        <v>0</v>
      </c>
      <c r="DP1" s="62" t="s">
        <v>3</v>
      </c>
      <c r="DQ1" t="s">
        <v>437</v>
      </c>
      <c r="DW1" s="62" t="s">
        <v>3</v>
      </c>
      <c r="DX1" t="s">
        <v>510</v>
      </c>
      <c r="ED1" s="62" t="s">
        <v>3</v>
      </c>
      <c r="EE1" t="s">
        <v>171</v>
      </c>
      <c r="EK1" s="62" t="s">
        <v>3</v>
      </c>
      <c r="EL1" s="63">
        <v>0</v>
      </c>
      <c r="ER1" s="62" t="s">
        <v>3</v>
      </c>
      <c r="ES1" t="s">
        <v>1238</v>
      </c>
      <c r="EY1" s="62" t="s">
        <v>3</v>
      </c>
      <c r="EZ1" t="s">
        <v>153</v>
      </c>
      <c r="FF1" s="62" t="s">
        <v>3</v>
      </c>
      <c r="FG1" t="s">
        <v>531</v>
      </c>
      <c r="FM1" s="62" t="s">
        <v>3</v>
      </c>
      <c r="FN1" s="63">
        <v>0</v>
      </c>
      <c r="FT1" s="62" t="s">
        <v>3</v>
      </c>
      <c r="FU1" t="s">
        <v>545</v>
      </c>
      <c r="GA1" s="62" t="s">
        <v>3</v>
      </c>
      <c r="GB1" t="s">
        <v>1069</v>
      </c>
      <c r="GH1" s="62" t="s">
        <v>3</v>
      </c>
      <c r="GI1" t="s">
        <v>736</v>
      </c>
      <c r="GO1" s="62" t="s">
        <v>3</v>
      </c>
      <c r="GP1" t="s">
        <v>157</v>
      </c>
      <c r="GV1" s="62" t="s">
        <v>3</v>
      </c>
      <c r="GW1" t="s">
        <v>169</v>
      </c>
      <c r="HC1" s="62" t="s">
        <v>3</v>
      </c>
      <c r="HD1" t="s">
        <v>150</v>
      </c>
      <c r="HJ1" s="62" t="s">
        <v>3</v>
      </c>
      <c r="HK1" s="63">
        <v>0</v>
      </c>
      <c r="HQ1" s="62" t="s">
        <v>3</v>
      </c>
      <c r="HR1" t="s">
        <v>406</v>
      </c>
      <c r="HX1" s="62" t="s">
        <v>3</v>
      </c>
      <c r="HY1" t="s">
        <v>164</v>
      </c>
      <c r="IE1" s="62" t="s">
        <v>3</v>
      </c>
      <c r="IF1" t="s">
        <v>161</v>
      </c>
      <c r="IL1" s="62" t="s">
        <v>3</v>
      </c>
      <c r="IM1" t="s">
        <v>166</v>
      </c>
      <c r="IS1" s="62" t="s">
        <v>3</v>
      </c>
      <c r="IT1" t="s">
        <v>1079</v>
      </c>
      <c r="IZ1" s="62" t="s">
        <v>3</v>
      </c>
      <c r="JA1" t="s">
        <v>124</v>
      </c>
      <c r="JG1" s="62" t="s">
        <v>3</v>
      </c>
      <c r="JH1" t="s">
        <v>959</v>
      </c>
      <c r="JN1" s="62" t="s">
        <v>3</v>
      </c>
      <c r="JO1" t="s">
        <v>1240</v>
      </c>
      <c r="JU1" s="62" t="s">
        <v>3</v>
      </c>
      <c r="JV1" t="s">
        <v>125</v>
      </c>
      <c r="KB1" s="62" t="s">
        <v>3</v>
      </c>
      <c r="KC1" t="s">
        <v>1241</v>
      </c>
      <c r="KI1" s="62" t="s">
        <v>3</v>
      </c>
      <c r="KJ1" t="s">
        <v>148</v>
      </c>
      <c r="KP1" s="62" t="s">
        <v>3</v>
      </c>
      <c r="KQ1" t="s">
        <v>721</v>
      </c>
      <c r="KW1" s="62" t="s">
        <v>3</v>
      </c>
      <c r="KX1" s="63">
        <v>0</v>
      </c>
      <c r="LD1" s="62" t="s">
        <v>3</v>
      </c>
      <c r="LE1" t="s">
        <v>90</v>
      </c>
      <c r="LK1" s="62" t="s">
        <v>3</v>
      </c>
      <c r="LL1" t="s">
        <v>151</v>
      </c>
      <c r="LR1" s="62" t="s">
        <v>3</v>
      </c>
      <c r="LS1" t="s">
        <v>149</v>
      </c>
      <c r="LY1" s="62" t="s">
        <v>3</v>
      </c>
      <c r="LZ1" t="s">
        <v>168</v>
      </c>
      <c r="MF1" s="62" t="s">
        <v>3</v>
      </c>
      <c r="MG1" s="63">
        <v>0</v>
      </c>
      <c r="MM1" s="62" t="s">
        <v>3</v>
      </c>
      <c r="MN1" s="63">
        <v>0</v>
      </c>
      <c r="MT1" s="62" t="s">
        <v>3</v>
      </c>
      <c r="MU1" t="s">
        <v>1242</v>
      </c>
      <c r="NA1" s="62" t="s">
        <v>3</v>
      </c>
      <c r="NB1" t="s">
        <v>147</v>
      </c>
      <c r="NH1" s="62" t="s">
        <v>3</v>
      </c>
      <c r="NI1" s="63">
        <v>0</v>
      </c>
      <c r="NO1" s="62" t="s">
        <v>3</v>
      </c>
      <c r="NP1" s="63">
        <v>0</v>
      </c>
      <c r="NV1" s="62" t="s">
        <v>3</v>
      </c>
      <c r="NW1" t="s">
        <v>671</v>
      </c>
      <c r="OC1" s="62" t="s">
        <v>3</v>
      </c>
      <c r="OD1" t="s">
        <v>1646</v>
      </c>
      <c r="OJ1" s="62" t="s">
        <v>3</v>
      </c>
      <c r="OK1" t="s">
        <v>1654</v>
      </c>
    </row>
    <row r="2" spans="1:401" s="64" customFormat="1" ht="22" customHeight="1">
      <c r="A2" s="64" t="s">
        <v>954</v>
      </c>
      <c r="B2" s="118" t="s">
        <v>954</v>
      </c>
      <c r="H2" s="64" t="s">
        <v>796</v>
      </c>
      <c r="I2" s="118" t="s">
        <v>796</v>
      </c>
      <c r="O2" s="64" t="s">
        <v>1236</v>
      </c>
      <c r="P2" s="118" t="s">
        <v>1236</v>
      </c>
      <c r="V2" s="64" t="s">
        <v>1042</v>
      </c>
      <c r="W2" s="118" t="s">
        <v>1042</v>
      </c>
      <c r="AC2" s="64" t="s">
        <v>159</v>
      </c>
      <c r="AD2" s="118" t="s">
        <v>159</v>
      </c>
      <c r="AJ2" s="64">
        <v>0</v>
      </c>
      <c r="AK2" s="118" t="s">
        <v>999</v>
      </c>
      <c r="AQ2" s="64" t="s">
        <v>97</v>
      </c>
      <c r="AR2" s="118" t="s">
        <v>97</v>
      </c>
      <c r="AX2" s="64" t="s">
        <v>123</v>
      </c>
      <c r="AY2" s="118" t="s">
        <v>123</v>
      </c>
      <c r="BE2" s="64" t="s">
        <v>509</v>
      </c>
      <c r="BF2" s="118" t="s">
        <v>509</v>
      </c>
      <c r="BL2" s="64" t="s">
        <v>152</v>
      </c>
      <c r="BM2" s="118" t="s">
        <v>152</v>
      </c>
      <c r="BS2" s="64">
        <v>0</v>
      </c>
      <c r="BT2" s="118" t="s">
        <v>165</v>
      </c>
      <c r="BZ2" s="64">
        <v>0</v>
      </c>
      <c r="CA2" s="118" t="s">
        <v>957</v>
      </c>
      <c r="CG2" s="64" t="s">
        <v>143</v>
      </c>
      <c r="CH2" s="118" t="s">
        <v>143</v>
      </c>
      <c r="CN2" s="64" t="s">
        <v>158</v>
      </c>
      <c r="CO2" s="118" t="s">
        <v>158</v>
      </c>
      <c r="CU2" s="64" t="s">
        <v>156</v>
      </c>
      <c r="CV2" s="118" t="s">
        <v>156</v>
      </c>
      <c r="DB2" s="64" t="s">
        <v>170</v>
      </c>
      <c r="DC2" s="118" t="s">
        <v>170</v>
      </c>
      <c r="DI2" s="64">
        <v>0</v>
      </c>
      <c r="DJ2" s="118" t="s">
        <v>894</v>
      </c>
      <c r="DP2" s="64" t="s">
        <v>437</v>
      </c>
      <c r="DQ2" s="118" t="s">
        <v>437</v>
      </c>
      <c r="DW2" s="64" t="s">
        <v>510</v>
      </c>
      <c r="DX2" s="118" t="s">
        <v>510</v>
      </c>
      <c r="ED2" s="64" t="s">
        <v>171</v>
      </c>
      <c r="EE2" s="118" t="s">
        <v>171</v>
      </c>
      <c r="EK2" s="64">
        <v>0</v>
      </c>
      <c r="EL2" s="118" t="s">
        <v>1237</v>
      </c>
      <c r="ER2" s="64" t="s">
        <v>1238</v>
      </c>
      <c r="ES2" s="118" t="s">
        <v>1238</v>
      </c>
      <c r="EY2" s="64" t="s">
        <v>153</v>
      </c>
      <c r="EZ2" s="118" t="s">
        <v>153</v>
      </c>
      <c r="FF2" s="64" t="s">
        <v>531</v>
      </c>
      <c r="FG2" s="118" t="s">
        <v>531</v>
      </c>
      <c r="FM2" s="64">
        <v>0</v>
      </c>
      <c r="FN2" s="118" t="s">
        <v>1239</v>
      </c>
      <c r="FT2" s="64" t="s">
        <v>545</v>
      </c>
      <c r="FU2" s="118" t="s">
        <v>545</v>
      </c>
      <c r="GA2" s="64" t="s">
        <v>1069</v>
      </c>
      <c r="GB2" s="118" t="s">
        <v>1069</v>
      </c>
      <c r="GH2" s="64" t="s">
        <v>736</v>
      </c>
      <c r="GI2" s="118" t="s">
        <v>736</v>
      </c>
      <c r="GO2" s="64" t="s">
        <v>157</v>
      </c>
      <c r="GP2" s="118" t="s">
        <v>157</v>
      </c>
      <c r="GV2" s="64" t="s">
        <v>169</v>
      </c>
      <c r="GW2" s="118" t="s">
        <v>169</v>
      </c>
      <c r="HC2" s="64" t="s">
        <v>150</v>
      </c>
      <c r="HD2" s="118" t="s">
        <v>150</v>
      </c>
      <c r="HJ2" s="64">
        <v>0</v>
      </c>
      <c r="HK2" s="118" t="s">
        <v>508</v>
      </c>
      <c r="HQ2" s="64" t="s">
        <v>406</v>
      </c>
      <c r="HR2" s="118" t="s">
        <v>406</v>
      </c>
      <c r="HX2" s="64" t="s">
        <v>164</v>
      </c>
      <c r="HY2" s="118" t="s">
        <v>164</v>
      </c>
      <c r="IE2" s="64" t="s">
        <v>161</v>
      </c>
      <c r="IF2" s="118" t="s">
        <v>161</v>
      </c>
      <c r="IL2" s="64" t="s">
        <v>166</v>
      </c>
      <c r="IM2" s="118" t="s">
        <v>166</v>
      </c>
      <c r="IS2" s="64" t="s">
        <v>1079</v>
      </c>
      <c r="IT2" s="118" t="s">
        <v>1079</v>
      </c>
      <c r="IZ2" s="64" t="s">
        <v>124</v>
      </c>
      <c r="JA2" s="118" t="s">
        <v>124</v>
      </c>
      <c r="JG2" s="64" t="s">
        <v>959</v>
      </c>
      <c r="JH2" s="118" t="s">
        <v>959</v>
      </c>
      <c r="JN2" s="64" t="s">
        <v>1240</v>
      </c>
      <c r="JO2" s="118" t="s">
        <v>1240</v>
      </c>
      <c r="JU2" s="64" t="s">
        <v>125</v>
      </c>
      <c r="JV2" s="118" t="s">
        <v>125</v>
      </c>
      <c r="KB2" s="64" t="s">
        <v>1241</v>
      </c>
      <c r="KC2" s="118" t="s">
        <v>1241</v>
      </c>
      <c r="KI2" s="64" t="s">
        <v>148</v>
      </c>
      <c r="KJ2" s="118" t="s">
        <v>148</v>
      </c>
      <c r="KP2" s="64" t="s">
        <v>721</v>
      </c>
      <c r="KQ2" s="118" t="s">
        <v>721</v>
      </c>
      <c r="KW2" s="64">
        <v>0</v>
      </c>
      <c r="KX2" s="118" t="s">
        <v>893</v>
      </c>
      <c r="LD2" s="64" t="s">
        <v>90</v>
      </c>
      <c r="LE2" s="118" t="s">
        <v>90</v>
      </c>
      <c r="LK2" s="64" t="s">
        <v>151</v>
      </c>
      <c r="LL2" s="118" t="s">
        <v>151</v>
      </c>
      <c r="LR2" s="64" t="s">
        <v>149</v>
      </c>
      <c r="LS2" s="118" t="s">
        <v>149</v>
      </c>
      <c r="LY2" s="64" t="s">
        <v>168</v>
      </c>
      <c r="LZ2" s="118" t="s">
        <v>168</v>
      </c>
      <c r="MF2" s="64">
        <v>0</v>
      </c>
      <c r="MG2" s="118" t="s">
        <v>706</v>
      </c>
      <c r="MM2" s="64">
        <v>0</v>
      </c>
      <c r="MN2" s="118" t="s">
        <v>956</v>
      </c>
      <c r="MT2" s="64" t="s">
        <v>1242</v>
      </c>
      <c r="MU2" s="118" t="s">
        <v>1242</v>
      </c>
      <c r="NA2" s="64" t="s">
        <v>147</v>
      </c>
      <c r="NB2" s="118" t="s">
        <v>147</v>
      </c>
      <c r="NH2" s="64">
        <v>0</v>
      </c>
      <c r="NI2" s="118" t="s">
        <v>408</v>
      </c>
      <c r="NO2" s="64">
        <v>0</v>
      </c>
      <c r="NP2" s="118" t="s">
        <v>433</v>
      </c>
      <c r="NV2" s="64" t="s">
        <v>671</v>
      </c>
      <c r="NW2" s="118" t="s">
        <v>671</v>
      </c>
      <c r="OC2" s="64" t="s">
        <v>1646</v>
      </c>
      <c r="OD2" s="118"/>
      <c r="OJ2" s="64" t="s">
        <v>1654</v>
      </c>
      <c r="OK2" s="118"/>
    </row>
    <row r="3" spans="1:401">
      <c r="A3" t="s">
        <v>173</v>
      </c>
      <c r="H3" t="s">
        <v>173</v>
      </c>
      <c r="O3" t="s">
        <v>173</v>
      </c>
      <c r="V3" t="s">
        <v>173</v>
      </c>
      <c r="AC3" t="s">
        <v>173</v>
      </c>
      <c r="AJ3" t="s">
        <v>173</v>
      </c>
      <c r="AQ3" t="s">
        <v>173</v>
      </c>
      <c r="AX3" t="s">
        <v>173</v>
      </c>
      <c r="BE3" t="s">
        <v>173</v>
      </c>
      <c r="BL3" t="s">
        <v>173</v>
      </c>
      <c r="BS3" t="s">
        <v>173</v>
      </c>
      <c r="BZ3" t="s">
        <v>173</v>
      </c>
      <c r="CG3" t="s">
        <v>173</v>
      </c>
      <c r="CN3" t="s">
        <v>173</v>
      </c>
      <c r="CU3" t="s">
        <v>173</v>
      </c>
      <c r="DB3" t="s">
        <v>173</v>
      </c>
      <c r="DI3" t="s">
        <v>173</v>
      </c>
      <c r="DP3" t="s">
        <v>173</v>
      </c>
      <c r="DW3" t="s">
        <v>173</v>
      </c>
      <c r="ED3" t="s">
        <v>173</v>
      </c>
      <c r="EK3" t="s">
        <v>173</v>
      </c>
      <c r="ER3" t="s">
        <v>173</v>
      </c>
      <c r="EY3" t="s">
        <v>173</v>
      </c>
      <c r="FF3" t="s">
        <v>173</v>
      </c>
      <c r="FM3" t="s">
        <v>173</v>
      </c>
      <c r="FT3" t="s">
        <v>173</v>
      </c>
      <c r="GA3" t="s">
        <v>173</v>
      </c>
      <c r="GH3" t="s">
        <v>173</v>
      </c>
      <c r="GO3" t="s">
        <v>173</v>
      </c>
      <c r="GV3" t="s">
        <v>173</v>
      </c>
      <c r="HC3" t="s">
        <v>173</v>
      </c>
      <c r="HJ3" t="s">
        <v>173</v>
      </c>
      <c r="HQ3" t="s">
        <v>173</v>
      </c>
      <c r="HX3" t="s">
        <v>173</v>
      </c>
      <c r="IE3" t="s">
        <v>173</v>
      </c>
      <c r="IL3" t="s">
        <v>173</v>
      </c>
      <c r="IS3" t="s">
        <v>173</v>
      </c>
      <c r="IZ3" t="s">
        <v>173</v>
      </c>
      <c r="JG3" t="s">
        <v>173</v>
      </c>
      <c r="JN3" t="s">
        <v>173</v>
      </c>
      <c r="JU3" t="s">
        <v>173</v>
      </c>
      <c r="KB3" t="s">
        <v>173</v>
      </c>
      <c r="KI3" t="s">
        <v>173</v>
      </c>
      <c r="KP3" t="s">
        <v>173</v>
      </c>
      <c r="KW3" t="s">
        <v>173</v>
      </c>
      <c r="LD3" t="s">
        <v>173</v>
      </c>
      <c r="LK3" t="s">
        <v>173</v>
      </c>
      <c r="LR3" t="s">
        <v>173</v>
      </c>
      <c r="LY3" t="s">
        <v>173</v>
      </c>
      <c r="MF3" t="s">
        <v>173</v>
      </c>
      <c r="MM3" t="s">
        <v>173</v>
      </c>
      <c r="MT3" t="s">
        <v>173</v>
      </c>
      <c r="NA3" t="s">
        <v>173</v>
      </c>
      <c r="NH3" t="s">
        <v>173</v>
      </c>
      <c r="NO3" t="s">
        <v>173</v>
      </c>
      <c r="NV3" t="s">
        <v>173</v>
      </c>
      <c r="OC3" t="s">
        <v>173</v>
      </c>
      <c r="OJ3" t="s">
        <v>173</v>
      </c>
    </row>
    <row r="4" spans="1:401">
      <c r="B4" t="s">
        <v>172</v>
      </c>
      <c r="I4" t="s">
        <v>172</v>
      </c>
      <c r="P4" t="s">
        <v>172</v>
      </c>
      <c r="W4" t="s">
        <v>172</v>
      </c>
      <c r="AD4" t="s">
        <v>172</v>
      </c>
      <c r="AK4" t="s">
        <v>172</v>
      </c>
      <c r="AR4" t="s">
        <v>172</v>
      </c>
      <c r="AY4" t="s">
        <v>172</v>
      </c>
      <c r="BF4" t="s">
        <v>172</v>
      </c>
      <c r="BM4" t="s">
        <v>172</v>
      </c>
      <c r="BT4" t="s">
        <v>172</v>
      </c>
      <c r="CA4" t="s">
        <v>172</v>
      </c>
      <c r="CH4" t="s">
        <v>172</v>
      </c>
      <c r="CO4" t="s">
        <v>172</v>
      </c>
      <c r="CV4" t="s">
        <v>172</v>
      </c>
      <c r="DC4" t="s">
        <v>172</v>
      </c>
      <c r="DJ4" t="s">
        <v>172</v>
      </c>
      <c r="DQ4" t="s">
        <v>172</v>
      </c>
      <c r="DX4" t="s">
        <v>172</v>
      </c>
      <c r="EE4" t="s">
        <v>172</v>
      </c>
      <c r="EL4" t="s">
        <v>172</v>
      </c>
      <c r="ES4" t="s">
        <v>172</v>
      </c>
      <c r="EZ4" t="s">
        <v>172</v>
      </c>
      <c r="FG4" t="s">
        <v>172</v>
      </c>
      <c r="FN4" t="s">
        <v>172</v>
      </c>
      <c r="FU4" t="s">
        <v>172</v>
      </c>
      <c r="GB4" t="s">
        <v>172</v>
      </c>
      <c r="GI4" t="s">
        <v>172</v>
      </c>
      <c r="GP4" t="s">
        <v>172</v>
      </c>
      <c r="GW4" t="s">
        <v>172</v>
      </c>
      <c r="HD4" t="s">
        <v>172</v>
      </c>
      <c r="HK4" t="s">
        <v>172</v>
      </c>
      <c r="HR4" t="s">
        <v>172</v>
      </c>
      <c r="HY4" t="s">
        <v>172</v>
      </c>
      <c r="IF4" t="s">
        <v>172</v>
      </c>
      <c r="IM4" t="s">
        <v>172</v>
      </c>
      <c r="IT4" t="s">
        <v>172</v>
      </c>
      <c r="JA4" t="s">
        <v>172</v>
      </c>
      <c r="JH4" t="s">
        <v>172</v>
      </c>
      <c r="JO4" t="s">
        <v>172</v>
      </c>
      <c r="JV4" t="s">
        <v>172</v>
      </c>
      <c r="KC4" t="s">
        <v>172</v>
      </c>
      <c r="KJ4" t="s">
        <v>172</v>
      </c>
      <c r="KQ4" t="s">
        <v>172</v>
      </c>
      <c r="KX4" t="s">
        <v>172</v>
      </c>
      <c r="LE4" t="s">
        <v>172</v>
      </c>
      <c r="LL4" t="s">
        <v>172</v>
      </c>
      <c r="LS4" t="s">
        <v>172</v>
      </c>
      <c r="LZ4" t="s">
        <v>172</v>
      </c>
      <c r="MG4" t="s">
        <v>172</v>
      </c>
      <c r="MN4" t="s">
        <v>172</v>
      </c>
      <c r="MU4" t="s">
        <v>172</v>
      </c>
      <c r="NB4" t="s">
        <v>172</v>
      </c>
      <c r="NI4" t="s">
        <v>172</v>
      </c>
      <c r="NP4" t="s">
        <v>172</v>
      </c>
      <c r="NW4" t="s">
        <v>172</v>
      </c>
      <c r="OD4" t="s">
        <v>172</v>
      </c>
      <c r="OK4" t="s">
        <v>172</v>
      </c>
    </row>
    <row r="5" spans="1:401">
      <c r="A5" t="s">
        <v>145</v>
      </c>
      <c r="B5">
        <v>1545</v>
      </c>
      <c r="H5" t="s">
        <v>146</v>
      </c>
      <c r="I5">
        <v>5</v>
      </c>
      <c r="O5" t="s">
        <v>146</v>
      </c>
      <c r="P5">
        <v>76</v>
      </c>
      <c r="V5" t="s">
        <v>145</v>
      </c>
      <c r="W5">
        <v>12108</v>
      </c>
      <c r="AC5" t="s">
        <v>146</v>
      </c>
      <c r="AD5">
        <v>99</v>
      </c>
      <c r="AJ5" t="s">
        <v>1050</v>
      </c>
      <c r="AK5">
        <v>0</v>
      </c>
      <c r="AQ5" t="s">
        <v>146</v>
      </c>
      <c r="AR5">
        <v>28070</v>
      </c>
      <c r="AX5" t="s">
        <v>146</v>
      </c>
      <c r="AY5">
        <v>75094</v>
      </c>
      <c r="BE5" t="s">
        <v>146</v>
      </c>
      <c r="BF5">
        <v>4205</v>
      </c>
      <c r="BL5" t="s">
        <v>146</v>
      </c>
      <c r="BM5">
        <v>2218</v>
      </c>
      <c r="BS5" t="s">
        <v>1050</v>
      </c>
      <c r="BT5">
        <v>0</v>
      </c>
      <c r="BZ5" t="s">
        <v>1050</v>
      </c>
      <c r="CA5">
        <v>0</v>
      </c>
      <c r="CG5" t="s">
        <v>146</v>
      </c>
      <c r="CH5">
        <v>4911</v>
      </c>
      <c r="CN5" t="s">
        <v>146</v>
      </c>
      <c r="CO5">
        <v>466</v>
      </c>
      <c r="CU5" t="s">
        <v>146</v>
      </c>
      <c r="CV5">
        <v>2051</v>
      </c>
      <c r="DB5" t="s">
        <v>146</v>
      </c>
      <c r="DC5">
        <v>567</v>
      </c>
      <c r="DI5" t="s">
        <v>1050</v>
      </c>
      <c r="DJ5">
        <v>0</v>
      </c>
      <c r="DP5" t="s">
        <v>146</v>
      </c>
      <c r="DQ5">
        <v>1025</v>
      </c>
      <c r="DW5" t="s">
        <v>145</v>
      </c>
      <c r="DX5">
        <v>5061</v>
      </c>
      <c r="ED5" t="s">
        <v>146</v>
      </c>
      <c r="EE5">
        <v>8138</v>
      </c>
      <c r="EK5" t="s">
        <v>1050</v>
      </c>
      <c r="EL5">
        <v>0</v>
      </c>
      <c r="ER5" t="s">
        <v>146</v>
      </c>
      <c r="ES5">
        <v>126</v>
      </c>
      <c r="EY5" t="s">
        <v>146</v>
      </c>
      <c r="EZ5">
        <v>1460</v>
      </c>
      <c r="FF5" t="s">
        <v>146</v>
      </c>
      <c r="FG5">
        <v>273</v>
      </c>
      <c r="FM5" t="s">
        <v>1050</v>
      </c>
      <c r="FN5">
        <v>0</v>
      </c>
      <c r="FT5" t="s">
        <v>146</v>
      </c>
      <c r="FU5">
        <v>21587</v>
      </c>
      <c r="GA5" t="s">
        <v>146</v>
      </c>
      <c r="GB5">
        <v>610</v>
      </c>
      <c r="GH5" t="s">
        <v>146</v>
      </c>
      <c r="GI5">
        <v>21899</v>
      </c>
      <c r="GO5" t="s">
        <v>145</v>
      </c>
      <c r="GP5">
        <v>3171</v>
      </c>
      <c r="GV5" t="s">
        <v>146</v>
      </c>
      <c r="GW5">
        <v>159</v>
      </c>
      <c r="HC5" t="s">
        <v>146</v>
      </c>
      <c r="HD5">
        <v>2856</v>
      </c>
      <c r="HJ5" t="s">
        <v>1050</v>
      </c>
      <c r="HK5">
        <v>0</v>
      </c>
      <c r="HQ5" t="s">
        <v>146</v>
      </c>
      <c r="HR5">
        <v>16122</v>
      </c>
      <c r="HX5" t="s">
        <v>145</v>
      </c>
      <c r="HY5">
        <v>6585</v>
      </c>
      <c r="IE5" t="s">
        <v>146</v>
      </c>
      <c r="IF5">
        <v>1351</v>
      </c>
      <c r="IL5" t="s">
        <v>145</v>
      </c>
      <c r="IM5">
        <v>4046</v>
      </c>
      <c r="IS5" t="s">
        <v>145</v>
      </c>
      <c r="IT5">
        <v>3123</v>
      </c>
      <c r="IZ5" t="s">
        <v>146</v>
      </c>
      <c r="JA5">
        <v>46038</v>
      </c>
      <c r="JG5" t="s">
        <v>146</v>
      </c>
      <c r="JH5">
        <v>1786</v>
      </c>
      <c r="JN5" t="s">
        <v>146</v>
      </c>
      <c r="JO5">
        <v>2959</v>
      </c>
      <c r="JU5" t="s">
        <v>146</v>
      </c>
      <c r="JV5">
        <v>28070</v>
      </c>
      <c r="KB5" t="s">
        <v>146</v>
      </c>
      <c r="KC5">
        <v>6159</v>
      </c>
      <c r="KI5" t="s">
        <v>146</v>
      </c>
      <c r="KJ5">
        <v>2445</v>
      </c>
      <c r="KP5" t="s">
        <v>145</v>
      </c>
      <c r="KQ5">
        <v>13974</v>
      </c>
      <c r="KW5" t="s">
        <v>1050</v>
      </c>
      <c r="KX5">
        <v>0</v>
      </c>
      <c r="LD5" t="s">
        <v>146</v>
      </c>
      <c r="LE5">
        <v>5008</v>
      </c>
      <c r="LK5" t="s">
        <v>145</v>
      </c>
      <c r="LL5">
        <v>12071</v>
      </c>
      <c r="LR5" t="s">
        <v>146</v>
      </c>
      <c r="LS5">
        <v>312</v>
      </c>
      <c r="LY5" t="s">
        <v>146</v>
      </c>
      <c r="LZ5">
        <v>1692</v>
      </c>
      <c r="MF5" t="s">
        <v>1050</v>
      </c>
      <c r="MG5">
        <v>0</v>
      </c>
      <c r="MM5" t="s">
        <v>1050</v>
      </c>
      <c r="MN5">
        <v>0</v>
      </c>
      <c r="MT5" t="s">
        <v>145</v>
      </c>
      <c r="MU5">
        <v>8289</v>
      </c>
      <c r="NA5" t="s">
        <v>146</v>
      </c>
      <c r="NB5">
        <v>1030</v>
      </c>
      <c r="NH5" t="s">
        <v>1050</v>
      </c>
      <c r="NI5">
        <v>0</v>
      </c>
      <c r="NO5" t="s">
        <v>1050</v>
      </c>
      <c r="NP5">
        <v>0</v>
      </c>
      <c r="NV5" t="s">
        <v>146</v>
      </c>
      <c r="NW5">
        <v>5585</v>
      </c>
      <c r="OC5" t="s">
        <v>146</v>
      </c>
      <c r="OD5">
        <v>22168</v>
      </c>
      <c r="OJ5" t="s">
        <v>145</v>
      </c>
      <c r="OK5">
        <v>7175</v>
      </c>
    </row>
    <row r="6" spans="1:401">
      <c r="A6" t="s">
        <v>953</v>
      </c>
      <c r="B6">
        <v>1545</v>
      </c>
      <c r="H6" t="s">
        <v>1486</v>
      </c>
      <c r="I6">
        <v>5</v>
      </c>
      <c r="O6" t="s">
        <v>805</v>
      </c>
      <c r="P6">
        <v>9</v>
      </c>
      <c r="V6" t="s">
        <v>1038</v>
      </c>
      <c r="W6">
        <v>1512</v>
      </c>
      <c r="AC6" t="s">
        <v>162</v>
      </c>
      <c r="AD6">
        <v>19</v>
      </c>
      <c r="AJ6" t="s">
        <v>1050</v>
      </c>
      <c r="AK6">
        <v>0</v>
      </c>
      <c r="AQ6" t="s">
        <v>1360</v>
      </c>
      <c r="AR6">
        <v>1551</v>
      </c>
      <c r="AX6" t="s">
        <v>133</v>
      </c>
      <c r="AY6">
        <v>34</v>
      </c>
      <c r="BE6" t="s">
        <v>789</v>
      </c>
      <c r="BF6">
        <v>75</v>
      </c>
      <c r="BL6" t="s">
        <v>1512</v>
      </c>
      <c r="BM6">
        <v>2065</v>
      </c>
      <c r="BS6" t="s">
        <v>1050</v>
      </c>
      <c r="BT6">
        <v>0</v>
      </c>
      <c r="BZ6" t="s">
        <v>1050</v>
      </c>
      <c r="CA6">
        <v>0</v>
      </c>
      <c r="CG6" t="s">
        <v>177</v>
      </c>
      <c r="CH6">
        <v>82</v>
      </c>
      <c r="CN6" t="s">
        <v>1604</v>
      </c>
      <c r="CO6">
        <v>90</v>
      </c>
      <c r="CU6" t="s">
        <v>617</v>
      </c>
      <c r="CV6">
        <v>291</v>
      </c>
      <c r="DB6" t="s">
        <v>217</v>
      </c>
      <c r="DC6">
        <v>96</v>
      </c>
      <c r="DI6" t="s">
        <v>1050</v>
      </c>
      <c r="DJ6">
        <v>0</v>
      </c>
      <c r="DP6" t="s">
        <v>1499</v>
      </c>
      <c r="DQ6">
        <v>105</v>
      </c>
      <c r="DW6" t="s">
        <v>611</v>
      </c>
      <c r="DX6">
        <v>844</v>
      </c>
      <c r="ED6" t="s">
        <v>1358</v>
      </c>
      <c r="EE6">
        <v>2067</v>
      </c>
      <c r="EK6" t="s">
        <v>1050</v>
      </c>
      <c r="EL6">
        <v>0</v>
      </c>
      <c r="ER6" t="s">
        <v>596</v>
      </c>
      <c r="ES6">
        <v>126</v>
      </c>
      <c r="EY6" t="s">
        <v>1439</v>
      </c>
      <c r="EZ6">
        <v>133</v>
      </c>
      <c r="FF6" t="s">
        <v>1124</v>
      </c>
      <c r="FG6">
        <v>136</v>
      </c>
      <c r="FM6" t="s">
        <v>1050</v>
      </c>
      <c r="FN6">
        <v>0</v>
      </c>
      <c r="FT6" t="s">
        <v>1120</v>
      </c>
      <c r="FU6">
        <v>1914</v>
      </c>
      <c r="GA6" t="s">
        <v>1305</v>
      </c>
      <c r="GB6">
        <v>154</v>
      </c>
      <c r="GH6" t="s">
        <v>880</v>
      </c>
      <c r="GI6">
        <v>1909</v>
      </c>
      <c r="GO6" t="s">
        <v>215</v>
      </c>
      <c r="GP6">
        <v>872</v>
      </c>
      <c r="GV6" t="s">
        <v>752</v>
      </c>
      <c r="GW6">
        <v>159</v>
      </c>
      <c r="HC6" t="s">
        <v>1061</v>
      </c>
      <c r="HD6">
        <v>174</v>
      </c>
      <c r="HJ6" t="s">
        <v>1050</v>
      </c>
      <c r="HK6">
        <v>0</v>
      </c>
      <c r="HQ6" t="s">
        <v>1064</v>
      </c>
      <c r="HR6">
        <v>1768</v>
      </c>
      <c r="HX6" t="s">
        <v>875</v>
      </c>
      <c r="HY6">
        <v>870</v>
      </c>
      <c r="IE6" t="s">
        <v>1386</v>
      </c>
      <c r="IF6">
        <v>192</v>
      </c>
      <c r="IL6" t="s">
        <v>277</v>
      </c>
      <c r="IM6">
        <v>816</v>
      </c>
      <c r="IS6" t="s">
        <v>760</v>
      </c>
      <c r="IT6">
        <v>1040</v>
      </c>
      <c r="IZ6" t="s">
        <v>1047</v>
      </c>
      <c r="JA6">
        <v>2080</v>
      </c>
      <c r="JG6" t="s">
        <v>958</v>
      </c>
      <c r="JH6">
        <v>213</v>
      </c>
      <c r="JN6" t="s">
        <v>677</v>
      </c>
      <c r="JO6">
        <v>1574</v>
      </c>
      <c r="JU6" t="s">
        <v>1317</v>
      </c>
      <c r="JV6">
        <v>1587</v>
      </c>
      <c r="KB6" t="s">
        <v>1524</v>
      </c>
      <c r="KC6">
        <v>229</v>
      </c>
      <c r="KI6" t="s">
        <v>753</v>
      </c>
      <c r="KJ6">
        <v>240</v>
      </c>
      <c r="KP6" t="s">
        <v>1254</v>
      </c>
      <c r="KQ6">
        <v>949</v>
      </c>
      <c r="KW6" t="s">
        <v>1050</v>
      </c>
      <c r="KX6">
        <v>0</v>
      </c>
      <c r="LD6" t="s">
        <v>282</v>
      </c>
      <c r="LE6">
        <v>299</v>
      </c>
      <c r="LK6" t="s">
        <v>294</v>
      </c>
      <c r="LL6">
        <v>945</v>
      </c>
      <c r="LR6" t="s">
        <v>1618</v>
      </c>
      <c r="LS6">
        <v>312</v>
      </c>
      <c r="LY6" t="s">
        <v>1183</v>
      </c>
      <c r="LZ6">
        <v>250</v>
      </c>
      <c r="MF6" t="s">
        <v>1050</v>
      </c>
      <c r="MG6">
        <v>0</v>
      </c>
      <c r="MM6" t="s">
        <v>1050</v>
      </c>
      <c r="MN6">
        <v>0</v>
      </c>
      <c r="MT6" t="s">
        <v>1060</v>
      </c>
      <c r="MU6">
        <v>919</v>
      </c>
      <c r="NA6" t="s">
        <v>310</v>
      </c>
      <c r="NB6">
        <v>256</v>
      </c>
      <c r="NH6" t="s">
        <v>1050</v>
      </c>
      <c r="NI6">
        <v>0</v>
      </c>
      <c r="NO6" t="s">
        <v>1050</v>
      </c>
      <c r="NP6">
        <v>0</v>
      </c>
      <c r="NV6" t="s">
        <v>414</v>
      </c>
      <c r="NW6">
        <v>269</v>
      </c>
      <c r="OC6" t="s">
        <v>1638</v>
      </c>
      <c r="OD6">
        <v>2098</v>
      </c>
      <c r="OJ6" t="s">
        <v>1649</v>
      </c>
      <c r="OK6">
        <v>1025</v>
      </c>
    </row>
    <row r="7" spans="1:401">
      <c r="A7" t="s">
        <v>1400</v>
      </c>
      <c r="B7">
        <v>1545</v>
      </c>
      <c r="H7" t="s">
        <v>145</v>
      </c>
      <c r="I7">
        <v>15395</v>
      </c>
      <c r="O7" t="s">
        <v>492</v>
      </c>
      <c r="P7">
        <v>13</v>
      </c>
      <c r="V7" t="s">
        <v>1485</v>
      </c>
      <c r="W7">
        <v>1515</v>
      </c>
      <c r="AC7" t="s">
        <v>391</v>
      </c>
      <c r="AD7">
        <v>15</v>
      </c>
      <c r="AJ7">
        <v>0</v>
      </c>
      <c r="AK7">
        <v>0</v>
      </c>
      <c r="AQ7" t="s">
        <v>1270</v>
      </c>
      <c r="AR7">
        <v>1780</v>
      </c>
      <c r="AX7" t="s">
        <v>452</v>
      </c>
      <c r="AY7">
        <v>1554</v>
      </c>
      <c r="BE7" t="s">
        <v>825</v>
      </c>
      <c r="BF7">
        <v>72</v>
      </c>
      <c r="BL7" t="s">
        <v>1109</v>
      </c>
      <c r="BM7">
        <v>76</v>
      </c>
      <c r="BS7">
        <v>0</v>
      </c>
      <c r="BT7">
        <v>0</v>
      </c>
      <c r="BZ7">
        <v>0</v>
      </c>
      <c r="CA7">
        <v>0</v>
      </c>
      <c r="CG7" t="s">
        <v>178</v>
      </c>
      <c r="CH7">
        <v>279</v>
      </c>
      <c r="CN7" t="s">
        <v>442</v>
      </c>
      <c r="CO7">
        <v>91</v>
      </c>
      <c r="CU7" t="s">
        <v>1147</v>
      </c>
      <c r="CV7">
        <v>290</v>
      </c>
      <c r="DB7" t="s">
        <v>644</v>
      </c>
      <c r="DC7">
        <v>92</v>
      </c>
      <c r="DI7">
        <v>0</v>
      </c>
      <c r="DJ7">
        <v>0</v>
      </c>
      <c r="DP7" t="s">
        <v>581</v>
      </c>
      <c r="DQ7">
        <v>98</v>
      </c>
      <c r="DW7" t="s">
        <v>1265</v>
      </c>
      <c r="DX7">
        <v>845</v>
      </c>
      <c r="ED7" t="s">
        <v>1312</v>
      </c>
      <c r="EE7">
        <v>124</v>
      </c>
      <c r="EK7">
        <v>0</v>
      </c>
      <c r="EL7">
        <v>0</v>
      </c>
      <c r="ER7" t="s">
        <v>145</v>
      </c>
      <c r="ES7">
        <v>5709</v>
      </c>
      <c r="EY7" t="s">
        <v>816</v>
      </c>
      <c r="EZ7">
        <v>127</v>
      </c>
      <c r="FF7" t="s">
        <v>822</v>
      </c>
      <c r="FG7">
        <v>137</v>
      </c>
      <c r="FM7">
        <v>0</v>
      </c>
      <c r="FN7">
        <v>0</v>
      </c>
      <c r="FT7" t="s">
        <v>1121</v>
      </c>
      <c r="FU7">
        <v>145</v>
      </c>
      <c r="GA7" t="s">
        <v>1453</v>
      </c>
      <c r="GB7">
        <v>151</v>
      </c>
      <c r="GH7" t="s">
        <v>738</v>
      </c>
      <c r="GI7">
        <v>1566</v>
      </c>
      <c r="GO7" t="s">
        <v>422</v>
      </c>
      <c r="GP7">
        <v>1150</v>
      </c>
      <c r="GV7" t="s">
        <v>145</v>
      </c>
      <c r="GW7">
        <v>12573</v>
      </c>
      <c r="HC7" t="s">
        <v>610</v>
      </c>
      <c r="HD7">
        <v>168</v>
      </c>
      <c r="HJ7">
        <v>0</v>
      </c>
      <c r="HK7">
        <v>0</v>
      </c>
      <c r="HQ7" t="s">
        <v>1584</v>
      </c>
      <c r="HR7">
        <v>181</v>
      </c>
      <c r="HX7" t="s">
        <v>1001</v>
      </c>
      <c r="HY7">
        <v>1065</v>
      </c>
      <c r="IE7" t="s">
        <v>932</v>
      </c>
      <c r="IF7">
        <v>195</v>
      </c>
      <c r="IL7" t="s">
        <v>278</v>
      </c>
      <c r="IM7">
        <v>805</v>
      </c>
      <c r="IS7" t="s">
        <v>1169</v>
      </c>
      <c r="IT7">
        <v>1042</v>
      </c>
      <c r="IZ7" t="s">
        <v>970</v>
      </c>
      <c r="JA7">
        <v>1775</v>
      </c>
      <c r="JG7" t="s">
        <v>1538</v>
      </c>
      <c r="JH7">
        <v>1573</v>
      </c>
      <c r="JN7" t="s">
        <v>672</v>
      </c>
      <c r="JO7">
        <v>214</v>
      </c>
      <c r="JU7" t="s">
        <v>885</v>
      </c>
      <c r="JV7">
        <v>224</v>
      </c>
      <c r="KB7" t="s">
        <v>1223</v>
      </c>
      <c r="KC7">
        <v>236</v>
      </c>
      <c r="KI7" t="s">
        <v>1369</v>
      </c>
      <c r="KJ7">
        <v>241</v>
      </c>
      <c r="KP7" t="s">
        <v>718</v>
      </c>
      <c r="KQ7">
        <v>955</v>
      </c>
      <c r="KW7">
        <v>0</v>
      </c>
      <c r="KX7">
        <v>0</v>
      </c>
      <c r="LD7" t="s">
        <v>283</v>
      </c>
      <c r="LE7">
        <v>300</v>
      </c>
      <c r="LK7" t="s">
        <v>400</v>
      </c>
      <c r="LL7">
        <v>947</v>
      </c>
      <c r="LR7" t="s">
        <v>145</v>
      </c>
      <c r="LS7">
        <v>6172</v>
      </c>
      <c r="LY7" t="s">
        <v>306</v>
      </c>
      <c r="LZ7">
        <v>253</v>
      </c>
      <c r="MF7">
        <v>0</v>
      </c>
      <c r="MG7">
        <v>0</v>
      </c>
      <c r="MM7">
        <v>0</v>
      </c>
      <c r="MN7">
        <v>0</v>
      </c>
      <c r="MT7" t="s">
        <v>1415</v>
      </c>
      <c r="MU7">
        <v>921</v>
      </c>
      <c r="NA7" t="s">
        <v>311</v>
      </c>
      <c r="NB7">
        <v>259</v>
      </c>
      <c r="NH7">
        <v>0</v>
      </c>
      <c r="NI7">
        <v>0</v>
      </c>
      <c r="NO7">
        <v>0</v>
      </c>
      <c r="NP7">
        <v>0</v>
      </c>
      <c r="NV7" t="s">
        <v>889</v>
      </c>
      <c r="NW7">
        <v>270</v>
      </c>
      <c r="OC7" t="s">
        <v>1632</v>
      </c>
      <c r="OD7">
        <v>2</v>
      </c>
      <c r="OJ7" t="s">
        <v>1647</v>
      </c>
      <c r="OK7">
        <v>1028</v>
      </c>
    </row>
    <row r="8" spans="1:401">
      <c r="H8" t="s">
        <v>1115</v>
      </c>
      <c r="I8">
        <v>1536</v>
      </c>
      <c r="O8" t="s">
        <v>797</v>
      </c>
      <c r="P8">
        <v>6</v>
      </c>
      <c r="V8" t="s">
        <v>1141</v>
      </c>
      <c r="W8">
        <v>1514</v>
      </c>
      <c r="AC8" t="s">
        <v>1031</v>
      </c>
      <c r="AD8">
        <v>16</v>
      </c>
      <c r="AJ8" t="s">
        <v>1050</v>
      </c>
      <c r="AK8">
        <v>0</v>
      </c>
      <c r="AQ8" t="s">
        <v>1024</v>
      </c>
      <c r="AR8">
        <v>1752</v>
      </c>
      <c r="AX8" t="s">
        <v>838</v>
      </c>
      <c r="AY8">
        <v>1559</v>
      </c>
      <c r="BE8" t="s">
        <v>631</v>
      </c>
      <c r="BF8">
        <v>67</v>
      </c>
      <c r="BL8" t="s">
        <v>896</v>
      </c>
      <c r="BM8">
        <v>77</v>
      </c>
      <c r="BS8" t="s">
        <v>1050</v>
      </c>
      <c r="BT8">
        <v>0</v>
      </c>
      <c r="BZ8" t="s">
        <v>1050</v>
      </c>
      <c r="CA8">
        <v>0</v>
      </c>
      <c r="CG8" t="s">
        <v>179</v>
      </c>
      <c r="CH8">
        <v>79</v>
      </c>
      <c r="CN8" t="s">
        <v>205</v>
      </c>
      <c r="CO8">
        <v>285</v>
      </c>
      <c r="CU8" t="s">
        <v>1148</v>
      </c>
      <c r="CV8">
        <v>295</v>
      </c>
      <c r="DB8" t="s">
        <v>642</v>
      </c>
      <c r="DC8">
        <v>94</v>
      </c>
      <c r="DI8" t="s">
        <v>1050</v>
      </c>
      <c r="DJ8">
        <v>0</v>
      </c>
      <c r="DP8" t="s">
        <v>180</v>
      </c>
      <c r="DQ8">
        <v>101</v>
      </c>
      <c r="DW8" t="s">
        <v>500</v>
      </c>
      <c r="DX8">
        <v>843</v>
      </c>
      <c r="ED8" t="s">
        <v>1532</v>
      </c>
      <c r="EE8">
        <v>123</v>
      </c>
      <c r="EK8" t="s">
        <v>1050</v>
      </c>
      <c r="EL8">
        <v>0</v>
      </c>
      <c r="ER8" t="s">
        <v>1235</v>
      </c>
      <c r="ES8">
        <v>2043</v>
      </c>
      <c r="EY8" t="s">
        <v>1112</v>
      </c>
      <c r="EZ8">
        <v>131</v>
      </c>
      <c r="FF8" t="s">
        <v>145</v>
      </c>
      <c r="FG8">
        <v>12973</v>
      </c>
      <c r="FM8" t="s">
        <v>1050</v>
      </c>
      <c r="FN8">
        <v>0</v>
      </c>
      <c r="FT8" t="s">
        <v>546</v>
      </c>
      <c r="FU8">
        <v>149</v>
      </c>
      <c r="GA8" t="s">
        <v>1304</v>
      </c>
      <c r="GB8">
        <v>153</v>
      </c>
      <c r="GH8" t="s">
        <v>1202</v>
      </c>
      <c r="GI8">
        <v>2072</v>
      </c>
      <c r="GO8" t="s">
        <v>247</v>
      </c>
      <c r="GP8">
        <v>1149</v>
      </c>
      <c r="GV8" t="s">
        <v>212</v>
      </c>
      <c r="GW8">
        <v>1139</v>
      </c>
      <c r="HC8" t="s">
        <v>1398</v>
      </c>
      <c r="HD8">
        <v>162</v>
      </c>
      <c r="HJ8" t="s">
        <v>1050</v>
      </c>
      <c r="HK8">
        <v>0</v>
      </c>
      <c r="HQ8" t="s">
        <v>1090</v>
      </c>
      <c r="HR8">
        <v>180</v>
      </c>
      <c r="HX8" t="s">
        <v>577</v>
      </c>
      <c r="HY8">
        <v>869</v>
      </c>
      <c r="IE8" t="s">
        <v>705</v>
      </c>
      <c r="IF8">
        <v>194</v>
      </c>
      <c r="IL8" t="s">
        <v>279</v>
      </c>
      <c r="IM8">
        <v>806</v>
      </c>
      <c r="IS8" t="s">
        <v>1476</v>
      </c>
      <c r="IT8">
        <v>1041</v>
      </c>
      <c r="IZ8" t="s">
        <v>1416</v>
      </c>
      <c r="JA8">
        <v>199</v>
      </c>
      <c r="JG8" t="s">
        <v>145</v>
      </c>
      <c r="JH8">
        <v>4078</v>
      </c>
      <c r="JN8" t="s">
        <v>1487</v>
      </c>
      <c r="JO8">
        <v>305</v>
      </c>
      <c r="JU8" t="s">
        <v>101</v>
      </c>
      <c r="JV8">
        <v>280</v>
      </c>
      <c r="KB8" t="s">
        <v>1226</v>
      </c>
      <c r="KC8">
        <v>1579</v>
      </c>
      <c r="KI8" t="s">
        <v>1167</v>
      </c>
      <c r="KJ8">
        <v>249</v>
      </c>
      <c r="KP8" t="s">
        <v>1252</v>
      </c>
      <c r="KQ8">
        <v>2225</v>
      </c>
      <c r="KW8" t="s">
        <v>1050</v>
      </c>
      <c r="KX8">
        <v>0</v>
      </c>
      <c r="LD8" t="s">
        <v>989</v>
      </c>
      <c r="LE8">
        <v>302</v>
      </c>
      <c r="LK8" t="s">
        <v>295</v>
      </c>
      <c r="LL8">
        <v>943</v>
      </c>
      <c r="LR8" t="s">
        <v>1623</v>
      </c>
      <c r="LS8">
        <v>771</v>
      </c>
      <c r="LY8" t="s">
        <v>1347</v>
      </c>
      <c r="LZ8">
        <v>177</v>
      </c>
      <c r="MF8" t="s">
        <v>1050</v>
      </c>
      <c r="MG8">
        <v>0</v>
      </c>
      <c r="MM8" t="s">
        <v>1050</v>
      </c>
      <c r="MN8">
        <v>0</v>
      </c>
      <c r="MT8" t="s">
        <v>1228</v>
      </c>
      <c r="MU8">
        <v>925</v>
      </c>
      <c r="NA8" t="s">
        <v>430</v>
      </c>
      <c r="NB8">
        <v>258</v>
      </c>
      <c r="NH8" t="s">
        <v>1050</v>
      </c>
      <c r="NI8">
        <v>0</v>
      </c>
      <c r="NO8" t="s">
        <v>1050</v>
      </c>
      <c r="NP8">
        <v>0</v>
      </c>
      <c r="NV8" t="s">
        <v>1264</v>
      </c>
      <c r="NW8">
        <v>266</v>
      </c>
      <c r="OC8" t="s">
        <v>1636</v>
      </c>
      <c r="OD8">
        <v>2088</v>
      </c>
      <c r="OJ8" t="s">
        <v>1651</v>
      </c>
      <c r="OK8">
        <v>1022</v>
      </c>
    </row>
    <row r="9" spans="1:401">
      <c r="H9" t="s">
        <v>1046</v>
      </c>
      <c r="I9">
        <v>1537</v>
      </c>
      <c r="O9" t="s">
        <v>758</v>
      </c>
      <c r="P9">
        <v>10</v>
      </c>
      <c r="V9" t="s">
        <v>1041</v>
      </c>
      <c r="W9">
        <v>1513</v>
      </c>
      <c r="AC9" t="s">
        <v>285</v>
      </c>
      <c r="AD9">
        <v>18</v>
      </c>
      <c r="AJ9" t="s">
        <v>1400</v>
      </c>
      <c r="AK9">
        <v>0</v>
      </c>
      <c r="AQ9" t="s">
        <v>1588</v>
      </c>
      <c r="AR9">
        <v>25</v>
      </c>
      <c r="AX9" t="s">
        <v>836</v>
      </c>
      <c r="AY9">
        <v>43</v>
      </c>
      <c r="BE9" t="s">
        <v>941</v>
      </c>
      <c r="BF9">
        <v>62</v>
      </c>
      <c r="BL9" t="s">
        <v>145</v>
      </c>
      <c r="BM9">
        <v>10089</v>
      </c>
      <c r="BS9" t="s">
        <v>1400</v>
      </c>
      <c r="BT9">
        <v>0</v>
      </c>
      <c r="BZ9" t="s">
        <v>1400</v>
      </c>
      <c r="CA9">
        <v>0</v>
      </c>
      <c r="CG9" t="s">
        <v>1071</v>
      </c>
      <c r="CH9">
        <v>81</v>
      </c>
      <c r="CN9" t="s">
        <v>145</v>
      </c>
      <c r="CO9">
        <v>20610</v>
      </c>
      <c r="CU9" t="s">
        <v>618</v>
      </c>
      <c r="CV9">
        <v>292</v>
      </c>
      <c r="DB9" t="s">
        <v>220</v>
      </c>
      <c r="DC9">
        <v>97</v>
      </c>
      <c r="DI9" t="s">
        <v>1400</v>
      </c>
      <c r="DJ9">
        <v>0</v>
      </c>
      <c r="DP9" t="s">
        <v>428</v>
      </c>
      <c r="DQ9">
        <v>99</v>
      </c>
      <c r="DW9" t="s">
        <v>499</v>
      </c>
      <c r="DX9">
        <v>846</v>
      </c>
      <c r="ED9" t="s">
        <v>1266</v>
      </c>
      <c r="EE9">
        <v>121</v>
      </c>
      <c r="EK9" t="s">
        <v>1400</v>
      </c>
      <c r="EL9">
        <v>0</v>
      </c>
      <c r="ER9" t="s">
        <v>502</v>
      </c>
      <c r="ES9">
        <v>1223</v>
      </c>
      <c r="EY9" t="s">
        <v>1389</v>
      </c>
      <c r="EZ9">
        <v>130</v>
      </c>
      <c r="FF9" t="s">
        <v>1125</v>
      </c>
      <c r="FG9">
        <v>2236</v>
      </c>
      <c r="FM9" t="s">
        <v>1400</v>
      </c>
      <c r="FN9">
        <v>0</v>
      </c>
      <c r="FT9" t="s">
        <v>1548</v>
      </c>
      <c r="FU9">
        <v>2090</v>
      </c>
      <c r="GA9" t="s">
        <v>1454</v>
      </c>
      <c r="GB9">
        <v>152</v>
      </c>
      <c r="GH9" t="s">
        <v>879</v>
      </c>
      <c r="GI9">
        <v>2087</v>
      </c>
      <c r="GO9" t="s">
        <v>1400</v>
      </c>
      <c r="GP9">
        <v>3171</v>
      </c>
      <c r="GV9" t="s">
        <v>572</v>
      </c>
      <c r="GW9">
        <v>1146</v>
      </c>
      <c r="HC9" t="s">
        <v>1171</v>
      </c>
      <c r="HD9">
        <v>171</v>
      </c>
      <c r="HJ9" t="s">
        <v>1400</v>
      </c>
      <c r="HK9">
        <v>0</v>
      </c>
      <c r="HQ9" t="s">
        <v>1063</v>
      </c>
      <c r="HR9">
        <v>2076</v>
      </c>
      <c r="HX9" t="s">
        <v>1531</v>
      </c>
      <c r="HY9">
        <v>783</v>
      </c>
      <c r="IE9" t="s">
        <v>233</v>
      </c>
      <c r="IF9">
        <v>196</v>
      </c>
      <c r="IL9" t="s">
        <v>280</v>
      </c>
      <c r="IM9">
        <v>804</v>
      </c>
      <c r="IS9" t="s">
        <v>1400</v>
      </c>
      <c r="IT9">
        <v>3123</v>
      </c>
      <c r="IZ9" t="s">
        <v>248</v>
      </c>
      <c r="JA9">
        <v>206</v>
      </c>
      <c r="JG9" t="s">
        <v>1309</v>
      </c>
      <c r="JH9">
        <v>1021</v>
      </c>
      <c r="JN9" t="s">
        <v>673</v>
      </c>
      <c r="JO9">
        <v>216</v>
      </c>
      <c r="JU9" t="s">
        <v>1332</v>
      </c>
      <c r="JV9">
        <v>1784</v>
      </c>
      <c r="KB9" t="s">
        <v>1523</v>
      </c>
      <c r="KC9">
        <v>228</v>
      </c>
      <c r="KI9" t="s">
        <v>1370</v>
      </c>
      <c r="KJ9">
        <v>245</v>
      </c>
      <c r="KP9" t="s">
        <v>684</v>
      </c>
      <c r="KQ9">
        <v>950</v>
      </c>
      <c r="KW9" t="s">
        <v>1400</v>
      </c>
      <c r="KX9">
        <v>0</v>
      </c>
      <c r="LD9" t="s">
        <v>284</v>
      </c>
      <c r="LE9">
        <v>303</v>
      </c>
      <c r="LK9" t="s">
        <v>296</v>
      </c>
      <c r="LL9">
        <v>939</v>
      </c>
      <c r="LR9" t="s">
        <v>1625</v>
      </c>
      <c r="LS9">
        <v>769</v>
      </c>
      <c r="LY9" t="s">
        <v>1184</v>
      </c>
      <c r="LZ9">
        <v>255</v>
      </c>
      <c r="MF9" t="s">
        <v>1400</v>
      </c>
      <c r="MG9">
        <v>0</v>
      </c>
      <c r="MM9" t="s">
        <v>1400</v>
      </c>
      <c r="MN9">
        <v>0</v>
      </c>
      <c r="MT9" t="s">
        <v>1229</v>
      </c>
      <c r="MU9">
        <v>917</v>
      </c>
      <c r="NA9" t="s">
        <v>163</v>
      </c>
      <c r="NB9">
        <v>257</v>
      </c>
      <c r="NH9" t="s">
        <v>1400</v>
      </c>
      <c r="NI9">
        <v>0</v>
      </c>
      <c r="NO9" t="s">
        <v>1400</v>
      </c>
      <c r="NP9">
        <v>0</v>
      </c>
      <c r="NV9" t="s">
        <v>676</v>
      </c>
      <c r="NW9">
        <v>1580</v>
      </c>
      <c r="OC9" t="s">
        <v>1631</v>
      </c>
      <c r="OD9">
        <v>3</v>
      </c>
      <c r="OJ9" t="s">
        <v>1650</v>
      </c>
      <c r="OK9">
        <v>1027</v>
      </c>
    </row>
    <row r="10" spans="1:401">
      <c r="H10" t="s">
        <v>1303</v>
      </c>
      <c r="I10">
        <v>1544</v>
      </c>
      <c r="O10" t="s">
        <v>713</v>
      </c>
      <c r="P10">
        <v>8</v>
      </c>
      <c r="V10" t="s">
        <v>1039</v>
      </c>
      <c r="W10">
        <v>1511</v>
      </c>
      <c r="AC10" t="s">
        <v>397</v>
      </c>
      <c r="AD10">
        <v>17</v>
      </c>
      <c r="AQ10" t="s">
        <v>1023</v>
      </c>
      <c r="AR10">
        <v>1583</v>
      </c>
      <c r="AX10" t="s">
        <v>1564</v>
      </c>
      <c r="AY10">
        <v>2064</v>
      </c>
      <c r="BE10" t="s">
        <v>815</v>
      </c>
      <c r="BF10">
        <v>1563</v>
      </c>
      <c r="BL10" t="s">
        <v>897</v>
      </c>
      <c r="BM10">
        <v>1366</v>
      </c>
      <c r="CG10" t="s">
        <v>1097</v>
      </c>
      <c r="CH10">
        <v>80</v>
      </c>
      <c r="CN10" t="s">
        <v>206</v>
      </c>
      <c r="CO10">
        <v>1330</v>
      </c>
      <c r="CU10" t="s">
        <v>619</v>
      </c>
      <c r="CV10">
        <v>293</v>
      </c>
      <c r="DB10" t="s">
        <v>1145</v>
      </c>
      <c r="DC10">
        <v>95</v>
      </c>
      <c r="DP10" t="s">
        <v>1297</v>
      </c>
      <c r="DQ10">
        <v>107</v>
      </c>
      <c r="DW10" t="s">
        <v>612</v>
      </c>
      <c r="DX10">
        <v>842</v>
      </c>
      <c r="ED10" t="s">
        <v>516</v>
      </c>
      <c r="EE10">
        <v>120</v>
      </c>
      <c r="ER10" t="s">
        <v>504</v>
      </c>
      <c r="ES10">
        <v>1221</v>
      </c>
      <c r="EY10" t="s">
        <v>1111</v>
      </c>
      <c r="EZ10">
        <v>281</v>
      </c>
      <c r="FF10" t="s">
        <v>981</v>
      </c>
      <c r="FG10">
        <v>1195</v>
      </c>
      <c r="FT10" t="s">
        <v>1549</v>
      </c>
      <c r="FU10">
        <v>1783</v>
      </c>
      <c r="GA10" t="s">
        <v>145</v>
      </c>
      <c r="GB10">
        <v>5523</v>
      </c>
      <c r="GH10" t="s">
        <v>1448</v>
      </c>
      <c r="GI10">
        <v>1766</v>
      </c>
      <c r="GV10" t="s">
        <v>635</v>
      </c>
      <c r="GW10">
        <v>1142</v>
      </c>
      <c r="HC10" t="s">
        <v>1345</v>
      </c>
      <c r="HD10">
        <v>163</v>
      </c>
      <c r="HQ10" t="s">
        <v>429</v>
      </c>
      <c r="HR10">
        <v>184</v>
      </c>
      <c r="HX10" t="s">
        <v>274</v>
      </c>
      <c r="HY10">
        <v>1066</v>
      </c>
      <c r="IE10" t="s">
        <v>607</v>
      </c>
      <c r="IF10">
        <v>193</v>
      </c>
      <c r="IL10" t="s">
        <v>281</v>
      </c>
      <c r="IM10">
        <v>815</v>
      </c>
      <c r="IZ10" t="s">
        <v>1282</v>
      </c>
      <c r="JA10">
        <v>209</v>
      </c>
      <c r="JG10" t="s">
        <v>1388</v>
      </c>
      <c r="JH10">
        <v>1020</v>
      </c>
      <c r="JN10" t="s">
        <v>678</v>
      </c>
      <c r="JO10">
        <v>215</v>
      </c>
      <c r="JU10" t="s">
        <v>1257</v>
      </c>
      <c r="JV10">
        <v>1777</v>
      </c>
      <c r="KB10" t="s">
        <v>819</v>
      </c>
      <c r="KC10">
        <v>233</v>
      </c>
      <c r="KI10" t="s">
        <v>1168</v>
      </c>
      <c r="KJ10">
        <v>248</v>
      </c>
      <c r="KP10" t="s">
        <v>715</v>
      </c>
      <c r="KQ10">
        <v>953</v>
      </c>
      <c r="LD10" t="s">
        <v>544</v>
      </c>
      <c r="LE10">
        <v>301</v>
      </c>
      <c r="LK10" t="s">
        <v>297</v>
      </c>
      <c r="LL10">
        <v>937</v>
      </c>
      <c r="LR10" t="s">
        <v>1619</v>
      </c>
      <c r="LS10">
        <v>775</v>
      </c>
      <c r="LY10" t="s">
        <v>777</v>
      </c>
      <c r="LZ10">
        <v>252</v>
      </c>
      <c r="MT10" t="s">
        <v>1232</v>
      </c>
      <c r="MU10">
        <v>918</v>
      </c>
      <c r="NA10" t="s">
        <v>145</v>
      </c>
      <c r="NB10">
        <v>5436</v>
      </c>
      <c r="NV10" t="s">
        <v>599</v>
      </c>
      <c r="NW10">
        <v>268</v>
      </c>
      <c r="OC10" t="s">
        <v>1628</v>
      </c>
      <c r="OD10">
        <v>2052</v>
      </c>
      <c r="OJ10" t="s">
        <v>1653</v>
      </c>
      <c r="OK10">
        <v>1023</v>
      </c>
    </row>
    <row r="11" spans="1:401">
      <c r="H11" t="s">
        <v>814</v>
      </c>
      <c r="I11">
        <v>1543</v>
      </c>
      <c r="O11" t="s">
        <v>864</v>
      </c>
      <c r="P11">
        <v>12</v>
      </c>
      <c r="V11" t="s">
        <v>1484</v>
      </c>
      <c r="W11">
        <v>1517</v>
      </c>
      <c r="AC11" t="s">
        <v>557</v>
      </c>
      <c r="AD11">
        <v>14</v>
      </c>
      <c r="AQ11" t="s">
        <v>935</v>
      </c>
      <c r="AR11">
        <v>1582</v>
      </c>
      <c r="AX11" t="s">
        <v>1566</v>
      </c>
      <c r="AY11">
        <v>2086</v>
      </c>
      <c r="BE11" t="s">
        <v>826</v>
      </c>
      <c r="BF11">
        <v>73</v>
      </c>
      <c r="BL11" t="s">
        <v>602</v>
      </c>
      <c r="BM11">
        <v>1363</v>
      </c>
      <c r="CG11" t="s">
        <v>1096</v>
      </c>
      <c r="CH11">
        <v>1564</v>
      </c>
      <c r="CN11" t="s">
        <v>600</v>
      </c>
      <c r="CO11">
        <v>823</v>
      </c>
      <c r="CU11" t="s">
        <v>241</v>
      </c>
      <c r="CV11">
        <v>296</v>
      </c>
      <c r="DB11" t="s">
        <v>854</v>
      </c>
      <c r="DC11">
        <v>93</v>
      </c>
      <c r="DP11" t="s">
        <v>1498</v>
      </c>
      <c r="DQ11">
        <v>104</v>
      </c>
      <c r="DW11" t="s">
        <v>1456</v>
      </c>
      <c r="DX11">
        <v>841</v>
      </c>
      <c r="ED11" t="s">
        <v>837</v>
      </c>
      <c r="EE11">
        <v>117</v>
      </c>
      <c r="ER11" t="s">
        <v>1557</v>
      </c>
      <c r="ES11">
        <v>1222</v>
      </c>
      <c r="EY11" t="s">
        <v>1049</v>
      </c>
      <c r="EZ11">
        <v>129</v>
      </c>
      <c r="FF11" t="s">
        <v>1529</v>
      </c>
      <c r="FG11">
        <v>1197</v>
      </c>
      <c r="FT11" t="s">
        <v>1540</v>
      </c>
      <c r="FU11">
        <v>150</v>
      </c>
      <c r="GA11" t="s">
        <v>1011</v>
      </c>
      <c r="GB11">
        <v>1161</v>
      </c>
      <c r="GH11" t="s">
        <v>741</v>
      </c>
      <c r="GI11">
        <v>1907</v>
      </c>
      <c r="GV11" t="s">
        <v>554</v>
      </c>
      <c r="GW11">
        <v>1140</v>
      </c>
      <c r="HC11" t="s">
        <v>1172</v>
      </c>
      <c r="HD11">
        <v>173</v>
      </c>
      <c r="HQ11" t="s">
        <v>1583</v>
      </c>
      <c r="HR11">
        <v>183</v>
      </c>
      <c r="HX11" t="s">
        <v>275</v>
      </c>
      <c r="HY11">
        <v>1064</v>
      </c>
      <c r="IE11" t="s">
        <v>444</v>
      </c>
      <c r="IF11">
        <v>191</v>
      </c>
      <c r="IL11" t="s">
        <v>1400</v>
      </c>
      <c r="IM11">
        <v>4046</v>
      </c>
      <c r="IZ11" t="s">
        <v>833</v>
      </c>
      <c r="JA11">
        <v>1774</v>
      </c>
      <c r="JG11" t="s">
        <v>1387</v>
      </c>
      <c r="JH11">
        <v>1019</v>
      </c>
      <c r="JN11" t="s">
        <v>674</v>
      </c>
      <c r="JO11">
        <v>218</v>
      </c>
      <c r="JU11" t="s">
        <v>103</v>
      </c>
      <c r="JV11">
        <v>1591</v>
      </c>
      <c r="KB11" t="s">
        <v>392</v>
      </c>
      <c r="KC11">
        <v>238</v>
      </c>
      <c r="KI11" t="s">
        <v>458</v>
      </c>
      <c r="KJ11">
        <v>247</v>
      </c>
      <c r="KP11" t="s">
        <v>757</v>
      </c>
      <c r="KQ11">
        <v>2224</v>
      </c>
      <c r="LD11" t="s">
        <v>541</v>
      </c>
      <c r="LE11">
        <v>1915</v>
      </c>
      <c r="LK11" t="s">
        <v>298</v>
      </c>
      <c r="LL11">
        <v>944</v>
      </c>
      <c r="LR11" t="s">
        <v>1624</v>
      </c>
      <c r="LS11">
        <v>770</v>
      </c>
      <c r="LY11" t="s">
        <v>915</v>
      </c>
      <c r="LZ11">
        <v>251</v>
      </c>
      <c r="MT11" t="s">
        <v>1233</v>
      </c>
      <c r="MU11">
        <v>924</v>
      </c>
      <c r="NA11" t="s">
        <v>432</v>
      </c>
      <c r="NB11">
        <v>915</v>
      </c>
      <c r="NV11" t="s">
        <v>181</v>
      </c>
      <c r="NW11">
        <v>272</v>
      </c>
      <c r="OC11" t="s">
        <v>1630</v>
      </c>
      <c r="OD11">
        <v>1751</v>
      </c>
      <c r="OJ11" t="s">
        <v>1648</v>
      </c>
      <c r="OK11">
        <v>1024</v>
      </c>
    </row>
    <row r="12" spans="1:401">
      <c r="H12" t="s">
        <v>1045</v>
      </c>
      <c r="I12">
        <v>1540</v>
      </c>
      <c r="O12" t="s">
        <v>863</v>
      </c>
      <c r="P12">
        <v>11</v>
      </c>
      <c r="V12" t="s">
        <v>1142</v>
      </c>
      <c r="W12">
        <v>1510</v>
      </c>
      <c r="AC12" t="s">
        <v>145</v>
      </c>
      <c r="AD12">
        <v>13794</v>
      </c>
      <c r="AQ12" t="s">
        <v>934</v>
      </c>
      <c r="AR12">
        <v>28</v>
      </c>
      <c r="AX12" t="s">
        <v>98</v>
      </c>
      <c r="AY12">
        <v>49</v>
      </c>
      <c r="BE12" t="s">
        <v>1256</v>
      </c>
      <c r="BF12">
        <v>61</v>
      </c>
      <c r="BL12" t="s">
        <v>1110</v>
      </c>
      <c r="BM12">
        <v>1896</v>
      </c>
      <c r="CG12" t="s">
        <v>183</v>
      </c>
      <c r="CH12">
        <v>86</v>
      </c>
      <c r="CN12" t="s">
        <v>1269</v>
      </c>
      <c r="CO12">
        <v>1323</v>
      </c>
      <c r="CU12" t="s">
        <v>242</v>
      </c>
      <c r="CV12">
        <v>294</v>
      </c>
      <c r="DB12" t="s">
        <v>145</v>
      </c>
      <c r="DC12">
        <v>22321</v>
      </c>
      <c r="DP12" t="s">
        <v>472</v>
      </c>
      <c r="DQ12">
        <v>106</v>
      </c>
      <c r="DW12" t="s">
        <v>1400</v>
      </c>
      <c r="DX12">
        <v>5061</v>
      </c>
      <c r="ED12" t="s">
        <v>1076</v>
      </c>
      <c r="EE12">
        <v>115</v>
      </c>
      <c r="ER12" t="s">
        <v>1400</v>
      </c>
      <c r="ES12">
        <v>5835</v>
      </c>
      <c r="EY12" t="s">
        <v>234</v>
      </c>
      <c r="EZ12">
        <v>128</v>
      </c>
      <c r="FF12" t="s">
        <v>1353</v>
      </c>
      <c r="FG12">
        <v>1189</v>
      </c>
      <c r="FT12" t="s">
        <v>785</v>
      </c>
      <c r="FU12">
        <v>138</v>
      </c>
      <c r="GA12" t="s">
        <v>1307</v>
      </c>
      <c r="GB12">
        <v>1162</v>
      </c>
      <c r="GH12" t="s">
        <v>749</v>
      </c>
      <c r="GI12">
        <v>156</v>
      </c>
      <c r="GV12" t="s">
        <v>113</v>
      </c>
      <c r="GW12">
        <v>1141</v>
      </c>
      <c r="HC12" t="s">
        <v>1286</v>
      </c>
      <c r="HD12">
        <v>164</v>
      </c>
      <c r="HQ12" t="s">
        <v>723</v>
      </c>
      <c r="HR12">
        <v>2077</v>
      </c>
      <c r="HX12" t="s">
        <v>276</v>
      </c>
      <c r="HY12">
        <v>868</v>
      </c>
      <c r="IE12" t="s">
        <v>858</v>
      </c>
      <c r="IF12">
        <v>190</v>
      </c>
      <c r="IZ12" t="s">
        <v>1138</v>
      </c>
      <c r="JA12">
        <v>288</v>
      </c>
      <c r="JG12" t="s">
        <v>1062</v>
      </c>
      <c r="JH12">
        <v>1018</v>
      </c>
      <c r="JN12" t="s">
        <v>675</v>
      </c>
      <c r="JO12">
        <v>217</v>
      </c>
      <c r="JU12" t="s">
        <v>949</v>
      </c>
      <c r="JV12">
        <v>1592</v>
      </c>
      <c r="KB12" t="s">
        <v>571</v>
      </c>
      <c r="KC12">
        <v>239</v>
      </c>
      <c r="KI12" t="s">
        <v>1491</v>
      </c>
      <c r="KJ12">
        <v>243</v>
      </c>
      <c r="KP12" t="s">
        <v>700</v>
      </c>
      <c r="KQ12">
        <v>957</v>
      </c>
      <c r="LD12" t="s">
        <v>286</v>
      </c>
      <c r="LE12">
        <v>1588</v>
      </c>
      <c r="LK12" t="s">
        <v>299</v>
      </c>
      <c r="LL12">
        <v>940</v>
      </c>
      <c r="LR12" t="s">
        <v>1622</v>
      </c>
      <c r="LS12">
        <v>772</v>
      </c>
      <c r="LY12" t="s">
        <v>1468</v>
      </c>
      <c r="LZ12">
        <v>254</v>
      </c>
      <c r="MT12" t="s">
        <v>1230</v>
      </c>
      <c r="MU12">
        <v>920</v>
      </c>
      <c r="NA12" t="s">
        <v>312</v>
      </c>
      <c r="NB12">
        <v>866</v>
      </c>
      <c r="NV12" t="s">
        <v>1054</v>
      </c>
      <c r="NW12">
        <v>263</v>
      </c>
      <c r="OC12" t="s">
        <v>1629</v>
      </c>
      <c r="OD12">
        <v>2053</v>
      </c>
      <c r="OJ12" t="s">
        <v>1652</v>
      </c>
      <c r="OK12">
        <v>1026</v>
      </c>
    </row>
    <row r="13" spans="1:401">
      <c r="H13" t="s">
        <v>985</v>
      </c>
      <c r="I13">
        <v>1541</v>
      </c>
      <c r="O13" t="s">
        <v>790</v>
      </c>
      <c r="P13">
        <v>7</v>
      </c>
      <c r="V13" t="s">
        <v>1040</v>
      </c>
      <c r="W13">
        <v>1516</v>
      </c>
      <c r="AC13" t="s">
        <v>477</v>
      </c>
      <c r="AD13">
        <v>1502</v>
      </c>
      <c r="AQ13" t="s">
        <v>1067</v>
      </c>
      <c r="AR13">
        <v>2056</v>
      </c>
      <c r="AX13" t="s">
        <v>1005</v>
      </c>
      <c r="AY13">
        <v>47</v>
      </c>
      <c r="BE13" t="s">
        <v>1457</v>
      </c>
      <c r="BF13">
        <v>68</v>
      </c>
      <c r="BL13" t="s">
        <v>319</v>
      </c>
      <c r="BM13">
        <v>1364</v>
      </c>
      <c r="CG13" t="s">
        <v>1098</v>
      </c>
      <c r="CH13">
        <v>2066</v>
      </c>
      <c r="CN13" t="s">
        <v>207</v>
      </c>
      <c r="CO13">
        <v>824</v>
      </c>
      <c r="CU13" t="s">
        <v>145</v>
      </c>
      <c r="CV13">
        <v>4050</v>
      </c>
      <c r="DB13" t="s">
        <v>221</v>
      </c>
      <c r="DC13">
        <v>1309</v>
      </c>
      <c r="DP13" t="s">
        <v>441</v>
      </c>
      <c r="DQ13">
        <v>100</v>
      </c>
      <c r="ED13" t="s">
        <v>807</v>
      </c>
      <c r="EE13">
        <v>118</v>
      </c>
      <c r="EY13" t="s">
        <v>1440</v>
      </c>
      <c r="EZ13">
        <v>132</v>
      </c>
      <c r="FF13" t="s">
        <v>1261</v>
      </c>
      <c r="FG13">
        <v>1193</v>
      </c>
      <c r="FT13" t="s">
        <v>1085</v>
      </c>
      <c r="FU13">
        <v>2069</v>
      </c>
      <c r="GA13" t="s">
        <v>1308</v>
      </c>
      <c r="GB13">
        <v>1163</v>
      </c>
      <c r="GH13" t="s">
        <v>740</v>
      </c>
      <c r="GI13">
        <v>158</v>
      </c>
      <c r="GV13" t="s">
        <v>1497</v>
      </c>
      <c r="GW13">
        <v>1147</v>
      </c>
      <c r="HC13" t="s">
        <v>931</v>
      </c>
      <c r="HD13">
        <v>170</v>
      </c>
      <c r="HQ13" t="s">
        <v>580</v>
      </c>
      <c r="HR13">
        <v>182</v>
      </c>
      <c r="HX13" t="s">
        <v>1400</v>
      </c>
      <c r="HY13">
        <v>6585</v>
      </c>
      <c r="IE13" t="s">
        <v>145</v>
      </c>
      <c r="IF13">
        <v>23808</v>
      </c>
      <c r="IZ13" t="s">
        <v>632</v>
      </c>
      <c r="JA13">
        <v>1568</v>
      </c>
      <c r="JG13" t="s">
        <v>1400</v>
      </c>
      <c r="JH13">
        <v>5864</v>
      </c>
      <c r="JN13" t="s">
        <v>145</v>
      </c>
      <c r="JO13">
        <v>24811</v>
      </c>
      <c r="JU13" t="s">
        <v>1382</v>
      </c>
      <c r="JV13">
        <v>1578</v>
      </c>
      <c r="KB13" t="s">
        <v>1221</v>
      </c>
      <c r="KC13">
        <v>231</v>
      </c>
      <c r="KI13" t="s">
        <v>1490</v>
      </c>
      <c r="KJ13">
        <v>246</v>
      </c>
      <c r="KP13" t="s">
        <v>686</v>
      </c>
      <c r="KQ13">
        <v>948</v>
      </c>
      <c r="LD13" t="s">
        <v>145</v>
      </c>
      <c r="LE13">
        <v>15054</v>
      </c>
      <c r="LK13" t="s">
        <v>228</v>
      </c>
      <c r="LL13">
        <v>942</v>
      </c>
      <c r="LR13" t="s">
        <v>1621</v>
      </c>
      <c r="LS13">
        <v>773</v>
      </c>
      <c r="LY13" t="s">
        <v>145</v>
      </c>
      <c r="LZ13">
        <v>11968</v>
      </c>
      <c r="MT13" t="s">
        <v>1234</v>
      </c>
      <c r="MU13">
        <v>922</v>
      </c>
      <c r="NA13" t="s">
        <v>313</v>
      </c>
      <c r="NB13">
        <v>916</v>
      </c>
      <c r="NV13" t="s">
        <v>1075</v>
      </c>
      <c r="NW13">
        <v>271</v>
      </c>
      <c r="OC13" t="s">
        <v>1640</v>
      </c>
      <c r="OD13">
        <v>2099</v>
      </c>
      <c r="OJ13" t="s">
        <v>1400</v>
      </c>
      <c r="OK13">
        <v>7175</v>
      </c>
    </row>
    <row r="14" spans="1:401">
      <c r="H14" t="s">
        <v>688</v>
      </c>
      <c r="I14">
        <v>1538</v>
      </c>
      <c r="O14" t="s">
        <v>145</v>
      </c>
      <c r="P14">
        <v>25942</v>
      </c>
      <c r="V14" t="s">
        <v>1400</v>
      </c>
      <c r="W14">
        <v>12108</v>
      </c>
      <c r="AC14" t="s">
        <v>848</v>
      </c>
      <c r="AD14">
        <v>1508</v>
      </c>
      <c r="AQ14" t="s">
        <v>415</v>
      </c>
      <c r="AR14">
        <v>1552</v>
      </c>
      <c r="AX14" t="s">
        <v>134</v>
      </c>
      <c r="AY14">
        <v>1757</v>
      </c>
      <c r="BE14" t="s">
        <v>1458</v>
      </c>
      <c r="BF14">
        <v>69</v>
      </c>
      <c r="BL14" t="s">
        <v>155</v>
      </c>
      <c r="BM14">
        <v>1365</v>
      </c>
      <c r="CG14" t="s">
        <v>1300</v>
      </c>
      <c r="CH14">
        <v>78</v>
      </c>
      <c r="CN14" t="s">
        <v>1605</v>
      </c>
      <c r="CO14">
        <v>825</v>
      </c>
      <c r="CU14" t="s">
        <v>213</v>
      </c>
      <c r="CV14">
        <v>810</v>
      </c>
      <c r="DB14" t="s">
        <v>222</v>
      </c>
      <c r="DC14">
        <v>1310</v>
      </c>
      <c r="DP14" t="s">
        <v>1501</v>
      </c>
      <c r="DQ14">
        <v>103</v>
      </c>
      <c r="ED14" t="s">
        <v>448</v>
      </c>
      <c r="EE14">
        <v>112</v>
      </c>
      <c r="EY14" t="s">
        <v>568</v>
      </c>
      <c r="EZ14">
        <v>134</v>
      </c>
      <c r="FF14" t="s">
        <v>1530</v>
      </c>
      <c r="FG14">
        <v>1196</v>
      </c>
      <c r="FT14" t="s">
        <v>1546</v>
      </c>
      <c r="FU14">
        <v>2092</v>
      </c>
      <c r="GA14" t="s">
        <v>1306</v>
      </c>
      <c r="GB14">
        <v>1164</v>
      </c>
      <c r="GH14" t="s">
        <v>1445</v>
      </c>
      <c r="GI14">
        <v>2073</v>
      </c>
      <c r="GV14" t="s">
        <v>139</v>
      </c>
      <c r="GW14">
        <v>1143</v>
      </c>
      <c r="HC14" t="s">
        <v>1284</v>
      </c>
      <c r="HD14">
        <v>165</v>
      </c>
      <c r="HQ14" t="s">
        <v>1582</v>
      </c>
      <c r="HR14">
        <v>2079</v>
      </c>
      <c r="IE14" t="s">
        <v>1374</v>
      </c>
      <c r="IF14">
        <v>847</v>
      </c>
      <c r="IZ14" t="s">
        <v>1342</v>
      </c>
      <c r="JA14">
        <v>212</v>
      </c>
      <c r="JN14" t="s">
        <v>925</v>
      </c>
      <c r="JO14">
        <v>1007</v>
      </c>
      <c r="JU14" t="s">
        <v>1376</v>
      </c>
      <c r="JV14">
        <v>225</v>
      </c>
      <c r="KB14" t="s">
        <v>1224</v>
      </c>
      <c r="KC14">
        <v>230</v>
      </c>
      <c r="KI14" t="s">
        <v>1489</v>
      </c>
      <c r="KJ14">
        <v>242</v>
      </c>
      <c r="KP14" t="s">
        <v>1255</v>
      </c>
      <c r="KQ14">
        <v>956</v>
      </c>
      <c r="LD14" t="s">
        <v>991</v>
      </c>
      <c r="LE14">
        <v>798</v>
      </c>
      <c r="LK14" t="s">
        <v>300</v>
      </c>
      <c r="LL14">
        <v>946</v>
      </c>
      <c r="LR14" t="s">
        <v>1620</v>
      </c>
      <c r="LS14">
        <v>774</v>
      </c>
      <c r="LY14" t="s">
        <v>1186</v>
      </c>
      <c r="LZ14">
        <v>936</v>
      </c>
      <c r="MT14" t="s">
        <v>1231</v>
      </c>
      <c r="MU14">
        <v>923</v>
      </c>
      <c r="NA14" t="s">
        <v>314</v>
      </c>
      <c r="NB14">
        <v>913</v>
      </c>
      <c r="NV14" t="s">
        <v>252</v>
      </c>
      <c r="NW14">
        <v>260</v>
      </c>
      <c r="OC14" t="s">
        <v>1639</v>
      </c>
      <c r="OD14">
        <v>1917</v>
      </c>
    </row>
    <row r="15" spans="1:401">
      <c r="H15" t="s">
        <v>1116</v>
      </c>
      <c r="I15">
        <v>1539</v>
      </c>
      <c r="O15" t="s">
        <v>784</v>
      </c>
      <c r="P15">
        <v>1534</v>
      </c>
      <c r="AC15" t="s">
        <v>479</v>
      </c>
      <c r="AD15">
        <v>1505</v>
      </c>
      <c r="AQ15" t="s">
        <v>1073</v>
      </c>
      <c r="AR15">
        <v>1884</v>
      </c>
      <c r="AX15" t="s">
        <v>1560</v>
      </c>
      <c r="AY15">
        <v>48</v>
      </c>
      <c r="BE15" t="s">
        <v>621</v>
      </c>
      <c r="BF15">
        <v>1562</v>
      </c>
      <c r="BL15" t="s">
        <v>154</v>
      </c>
      <c r="BM15">
        <v>1367</v>
      </c>
      <c r="CG15" t="s">
        <v>1070</v>
      </c>
      <c r="CH15">
        <v>88</v>
      </c>
      <c r="CN15" t="s">
        <v>443</v>
      </c>
      <c r="CO15">
        <v>1331</v>
      </c>
      <c r="CU15" t="s">
        <v>558</v>
      </c>
      <c r="CV15">
        <v>808</v>
      </c>
      <c r="DB15" t="s">
        <v>223</v>
      </c>
      <c r="DC15">
        <v>1314</v>
      </c>
      <c r="DP15" t="s">
        <v>1500</v>
      </c>
      <c r="DQ15">
        <v>102</v>
      </c>
      <c r="ED15" t="s">
        <v>1150</v>
      </c>
      <c r="EE15">
        <v>114</v>
      </c>
      <c r="EY15" t="s">
        <v>461</v>
      </c>
      <c r="EZ15">
        <v>135</v>
      </c>
      <c r="FF15" t="s">
        <v>1260</v>
      </c>
      <c r="FG15">
        <v>1190</v>
      </c>
      <c r="FT15" t="s">
        <v>548</v>
      </c>
      <c r="FU15">
        <v>1781</v>
      </c>
      <c r="GA15" t="s">
        <v>1455</v>
      </c>
      <c r="GB15">
        <v>873</v>
      </c>
      <c r="GH15" t="s">
        <v>1446</v>
      </c>
      <c r="GI15">
        <v>2074</v>
      </c>
      <c r="GV15" t="s">
        <v>434</v>
      </c>
      <c r="GW15">
        <v>1148</v>
      </c>
      <c r="HC15" t="s">
        <v>1015</v>
      </c>
      <c r="HD15">
        <v>175</v>
      </c>
      <c r="HQ15" t="s">
        <v>582</v>
      </c>
      <c r="HR15">
        <v>188</v>
      </c>
      <c r="IE15" t="s">
        <v>269</v>
      </c>
      <c r="IF15">
        <v>1046</v>
      </c>
      <c r="IZ15" t="s">
        <v>1281</v>
      </c>
      <c r="JA15">
        <v>204</v>
      </c>
      <c r="JN15" t="s">
        <v>680</v>
      </c>
      <c r="JO15">
        <v>1009</v>
      </c>
      <c r="JU15" t="s">
        <v>449</v>
      </c>
      <c r="JV15">
        <v>1576</v>
      </c>
      <c r="KB15" t="s">
        <v>1222</v>
      </c>
      <c r="KC15">
        <v>235</v>
      </c>
      <c r="KI15" t="s">
        <v>1492</v>
      </c>
      <c r="KJ15">
        <v>244</v>
      </c>
      <c r="KP15" t="s">
        <v>719</v>
      </c>
      <c r="KQ15">
        <v>954</v>
      </c>
      <c r="LD15" t="s">
        <v>862</v>
      </c>
      <c r="LE15">
        <v>792</v>
      </c>
      <c r="LK15" t="s">
        <v>661</v>
      </c>
      <c r="LL15">
        <v>941</v>
      </c>
      <c r="LR15" t="s">
        <v>1626</v>
      </c>
      <c r="LS15">
        <v>768</v>
      </c>
      <c r="LY15" t="s">
        <v>188</v>
      </c>
      <c r="LZ15">
        <v>926</v>
      </c>
      <c r="MT15" t="s">
        <v>1400</v>
      </c>
      <c r="MU15">
        <v>8289</v>
      </c>
      <c r="NA15" t="s">
        <v>1316</v>
      </c>
      <c r="NB15">
        <v>912</v>
      </c>
      <c r="NV15" t="s">
        <v>218</v>
      </c>
      <c r="NW15">
        <v>273</v>
      </c>
      <c r="OC15" t="s">
        <v>1627</v>
      </c>
      <c r="OD15">
        <v>4</v>
      </c>
    </row>
    <row r="16" spans="1:401">
      <c r="H16" t="s">
        <v>812</v>
      </c>
      <c r="I16">
        <v>1542</v>
      </c>
      <c r="O16" t="s">
        <v>794</v>
      </c>
      <c r="P16">
        <v>1533</v>
      </c>
      <c r="AC16" t="s">
        <v>1033</v>
      </c>
      <c r="AD16">
        <v>1507</v>
      </c>
      <c r="AQ16" t="s">
        <v>1017</v>
      </c>
      <c r="AR16">
        <v>278</v>
      </c>
      <c r="AX16" t="s">
        <v>542</v>
      </c>
      <c r="AY16">
        <v>1758</v>
      </c>
      <c r="BE16" t="s">
        <v>493</v>
      </c>
      <c r="BF16">
        <v>70</v>
      </c>
      <c r="BL16" t="s">
        <v>1087</v>
      </c>
      <c r="BM16">
        <v>1368</v>
      </c>
      <c r="CG16" t="s">
        <v>598</v>
      </c>
      <c r="CH16">
        <v>84</v>
      </c>
      <c r="CN16" t="s">
        <v>846</v>
      </c>
      <c r="CO16">
        <v>1326</v>
      </c>
      <c r="CU16" t="s">
        <v>521</v>
      </c>
      <c r="CV16">
        <v>812</v>
      </c>
      <c r="DB16" t="s">
        <v>559</v>
      </c>
      <c r="DC16">
        <v>1319</v>
      </c>
      <c r="DP16" t="s">
        <v>145</v>
      </c>
      <c r="DQ16">
        <v>38685</v>
      </c>
      <c r="ED16" t="s">
        <v>1002</v>
      </c>
      <c r="EE16">
        <v>1906</v>
      </c>
      <c r="EY16" t="s">
        <v>145</v>
      </c>
      <c r="EZ16">
        <v>37184</v>
      </c>
      <c r="FF16" t="s">
        <v>530</v>
      </c>
      <c r="FG16">
        <v>1192</v>
      </c>
      <c r="FT16" t="s">
        <v>1086</v>
      </c>
      <c r="FU16">
        <v>2070</v>
      </c>
      <c r="GA16" t="s">
        <v>1400</v>
      </c>
      <c r="GB16">
        <v>6133</v>
      </c>
      <c r="GH16" t="s">
        <v>881</v>
      </c>
      <c r="GI16">
        <v>1908</v>
      </c>
      <c r="GV16" t="s">
        <v>466</v>
      </c>
      <c r="GW16">
        <v>1145</v>
      </c>
      <c r="HC16" t="s">
        <v>965</v>
      </c>
      <c r="HD16">
        <v>172</v>
      </c>
      <c r="HQ16" t="s">
        <v>1043</v>
      </c>
      <c r="HR16">
        <v>2078</v>
      </c>
      <c r="IE16" t="s">
        <v>823</v>
      </c>
      <c r="IF16">
        <v>1063</v>
      </c>
      <c r="IZ16" t="s">
        <v>1417</v>
      </c>
      <c r="JA16">
        <v>200</v>
      </c>
      <c r="JN16" t="s">
        <v>696</v>
      </c>
      <c r="JO16">
        <v>1015</v>
      </c>
      <c r="JU16" t="s">
        <v>1258</v>
      </c>
      <c r="JV16">
        <v>308</v>
      </c>
      <c r="KB16" t="s">
        <v>820</v>
      </c>
      <c r="KC16">
        <v>234</v>
      </c>
      <c r="KI16" t="s">
        <v>145</v>
      </c>
      <c r="KJ16">
        <v>22213</v>
      </c>
      <c r="KP16" t="s">
        <v>720</v>
      </c>
      <c r="KQ16">
        <v>951</v>
      </c>
      <c r="LD16" t="s">
        <v>287</v>
      </c>
      <c r="LE16">
        <v>801</v>
      </c>
      <c r="LK16" t="s">
        <v>302</v>
      </c>
      <c r="LL16">
        <v>938</v>
      </c>
      <c r="LR16" t="s">
        <v>1400</v>
      </c>
      <c r="LS16">
        <v>6484</v>
      </c>
      <c r="LY16" t="s">
        <v>916</v>
      </c>
      <c r="LZ16">
        <v>864</v>
      </c>
      <c r="NA16" t="s">
        <v>616</v>
      </c>
      <c r="NB16">
        <v>914</v>
      </c>
      <c r="NV16" t="s">
        <v>914</v>
      </c>
      <c r="NW16">
        <v>267</v>
      </c>
      <c r="OC16" t="s">
        <v>1634</v>
      </c>
      <c r="OD16">
        <v>2054</v>
      </c>
    </row>
    <row r="17" spans="8:394">
      <c r="H17" t="s">
        <v>813</v>
      </c>
      <c r="I17">
        <v>1535</v>
      </c>
      <c r="O17" t="s">
        <v>1391</v>
      </c>
      <c r="P17">
        <v>1519</v>
      </c>
      <c r="AC17" t="s">
        <v>399</v>
      </c>
      <c r="AD17">
        <v>1504</v>
      </c>
      <c r="AQ17" t="s">
        <v>936</v>
      </c>
      <c r="AR17">
        <v>1910</v>
      </c>
      <c r="AX17" t="s">
        <v>102</v>
      </c>
      <c r="AY17">
        <v>52</v>
      </c>
      <c r="BE17" t="s">
        <v>942</v>
      </c>
      <c r="BF17">
        <v>60</v>
      </c>
      <c r="BL17" t="s">
        <v>1400</v>
      </c>
      <c r="BM17">
        <v>12307</v>
      </c>
      <c r="CG17" t="s">
        <v>1479</v>
      </c>
      <c r="CH17">
        <v>87</v>
      </c>
      <c r="CN17" t="s">
        <v>208</v>
      </c>
      <c r="CO17">
        <v>1333</v>
      </c>
      <c r="CU17" t="s">
        <v>216</v>
      </c>
      <c r="CV17">
        <v>809</v>
      </c>
      <c r="DB17" t="s">
        <v>1477</v>
      </c>
      <c r="DC17">
        <v>1308</v>
      </c>
      <c r="DP17" t="s">
        <v>185</v>
      </c>
      <c r="DQ17">
        <v>1285</v>
      </c>
      <c r="ED17" t="s">
        <v>733</v>
      </c>
      <c r="EE17">
        <v>111</v>
      </c>
      <c r="EY17" t="s">
        <v>317</v>
      </c>
      <c r="EZ17">
        <v>1198</v>
      </c>
      <c r="FF17" t="s">
        <v>1263</v>
      </c>
      <c r="FG17">
        <v>1194</v>
      </c>
      <c r="FT17" t="s">
        <v>1542</v>
      </c>
      <c r="FU17">
        <v>140</v>
      </c>
      <c r="GH17" t="s">
        <v>1447</v>
      </c>
      <c r="GI17">
        <v>155</v>
      </c>
      <c r="GV17" t="s">
        <v>662</v>
      </c>
      <c r="GW17">
        <v>1138</v>
      </c>
      <c r="HC17" t="s">
        <v>606</v>
      </c>
      <c r="HD17">
        <v>161</v>
      </c>
      <c r="HQ17" t="s">
        <v>526</v>
      </c>
      <c r="HR17">
        <v>178</v>
      </c>
      <c r="IE17" t="s">
        <v>1601</v>
      </c>
      <c r="IF17">
        <v>1061</v>
      </c>
      <c r="IZ17" t="s">
        <v>961</v>
      </c>
      <c r="JA17">
        <v>205</v>
      </c>
      <c r="JN17" t="s">
        <v>704</v>
      </c>
      <c r="JO17">
        <v>836</v>
      </c>
      <c r="JU17" t="s">
        <v>996</v>
      </c>
      <c r="JV17">
        <v>304</v>
      </c>
      <c r="KB17" t="s">
        <v>1003</v>
      </c>
      <c r="KC17">
        <v>232</v>
      </c>
      <c r="KI17" t="s">
        <v>407</v>
      </c>
      <c r="KJ17">
        <v>968</v>
      </c>
      <c r="KP17" t="s">
        <v>714</v>
      </c>
      <c r="KQ17">
        <v>952</v>
      </c>
      <c r="LD17" t="s">
        <v>994</v>
      </c>
      <c r="LE17">
        <v>2030</v>
      </c>
      <c r="LK17" t="s">
        <v>525</v>
      </c>
      <c r="LL17">
        <v>1709</v>
      </c>
      <c r="LY17" t="s">
        <v>1004</v>
      </c>
      <c r="LZ17">
        <v>934</v>
      </c>
      <c r="NA17" t="s">
        <v>1400</v>
      </c>
      <c r="NB17">
        <v>6466</v>
      </c>
      <c r="NV17" t="s">
        <v>474</v>
      </c>
      <c r="NW17">
        <v>264</v>
      </c>
      <c r="OC17" t="s">
        <v>1637</v>
      </c>
      <c r="OD17">
        <v>2095</v>
      </c>
    </row>
    <row r="18" spans="8:394">
      <c r="H18" t="s">
        <v>1400</v>
      </c>
      <c r="I18">
        <v>15400</v>
      </c>
      <c r="O18" t="s">
        <v>710</v>
      </c>
      <c r="P18">
        <v>1529</v>
      </c>
      <c r="AC18" t="s">
        <v>478</v>
      </c>
      <c r="AD18">
        <v>1509</v>
      </c>
      <c r="AQ18" t="s">
        <v>587</v>
      </c>
      <c r="AR18">
        <v>27</v>
      </c>
      <c r="AX18" t="s">
        <v>975</v>
      </c>
      <c r="AY18">
        <v>1763</v>
      </c>
      <c r="BE18" t="s">
        <v>1084</v>
      </c>
      <c r="BF18">
        <v>64</v>
      </c>
      <c r="CG18" t="s">
        <v>184</v>
      </c>
      <c r="CH18">
        <v>85</v>
      </c>
      <c r="CN18" t="s">
        <v>396</v>
      </c>
      <c r="CO18">
        <v>1328</v>
      </c>
      <c r="CU18" t="s">
        <v>268</v>
      </c>
      <c r="CV18">
        <v>811</v>
      </c>
      <c r="DB18" t="s">
        <v>647</v>
      </c>
      <c r="DC18">
        <v>1321</v>
      </c>
      <c r="DP18" t="s">
        <v>929</v>
      </c>
      <c r="DQ18">
        <v>1275</v>
      </c>
      <c r="ED18" t="s">
        <v>309</v>
      </c>
      <c r="EE18">
        <v>116</v>
      </c>
      <c r="EY18" t="s">
        <v>462</v>
      </c>
      <c r="EZ18">
        <v>1209</v>
      </c>
      <c r="FF18" t="s">
        <v>1262</v>
      </c>
      <c r="FG18">
        <v>1191</v>
      </c>
      <c r="FT18" t="s">
        <v>1547</v>
      </c>
      <c r="FU18">
        <v>2091</v>
      </c>
      <c r="GH18" t="s">
        <v>737</v>
      </c>
      <c r="GI18">
        <v>1565</v>
      </c>
      <c r="GV18" t="s">
        <v>421</v>
      </c>
      <c r="GW18">
        <v>1144</v>
      </c>
      <c r="HC18" t="s">
        <v>1407</v>
      </c>
      <c r="HD18">
        <v>160</v>
      </c>
      <c r="HQ18" t="s">
        <v>583</v>
      </c>
      <c r="HR18">
        <v>189</v>
      </c>
      <c r="IE18" t="s">
        <v>1603</v>
      </c>
      <c r="IF18">
        <v>1054</v>
      </c>
      <c r="IZ18" t="s">
        <v>803</v>
      </c>
      <c r="JA18">
        <v>202</v>
      </c>
      <c r="JN18" t="s">
        <v>1488</v>
      </c>
      <c r="JO18">
        <v>1016</v>
      </c>
      <c r="JU18" t="s">
        <v>552</v>
      </c>
      <c r="JV18">
        <v>221</v>
      </c>
      <c r="KB18" t="s">
        <v>1225</v>
      </c>
      <c r="KC18">
        <v>1778</v>
      </c>
      <c r="KI18" t="s">
        <v>1295</v>
      </c>
      <c r="KJ18">
        <v>965</v>
      </c>
      <c r="KP18" t="s">
        <v>1400</v>
      </c>
      <c r="KQ18">
        <v>13974</v>
      </c>
      <c r="LD18" t="s">
        <v>289</v>
      </c>
      <c r="LE18">
        <v>802</v>
      </c>
      <c r="LK18" t="s">
        <v>1400</v>
      </c>
      <c r="LL18">
        <v>12071</v>
      </c>
      <c r="LY18" t="s">
        <v>1294</v>
      </c>
      <c r="LZ18">
        <v>930</v>
      </c>
      <c r="NV18" t="s">
        <v>219</v>
      </c>
      <c r="NW18">
        <v>274</v>
      </c>
      <c r="OC18" t="s">
        <v>1635</v>
      </c>
      <c r="OD18">
        <v>1901</v>
      </c>
    </row>
    <row r="19" spans="8:394">
      <c r="O19" t="s">
        <v>866</v>
      </c>
      <c r="P19">
        <v>1525</v>
      </c>
      <c r="AC19" t="s">
        <v>847</v>
      </c>
      <c r="AD19">
        <v>1750</v>
      </c>
      <c r="AQ19" t="s">
        <v>1361</v>
      </c>
      <c r="AR19">
        <v>282</v>
      </c>
      <c r="AX19" t="s">
        <v>904</v>
      </c>
      <c r="AY19">
        <v>1782</v>
      </c>
      <c r="BE19" t="s">
        <v>824</v>
      </c>
      <c r="BF19">
        <v>74</v>
      </c>
      <c r="CG19" t="s">
        <v>1072</v>
      </c>
      <c r="CH19">
        <v>83</v>
      </c>
      <c r="CN19" t="s">
        <v>1144</v>
      </c>
      <c r="CO19">
        <v>874</v>
      </c>
      <c r="CU19" t="s">
        <v>1400</v>
      </c>
      <c r="CV19">
        <v>6101</v>
      </c>
      <c r="DB19" t="s">
        <v>857</v>
      </c>
      <c r="DC19">
        <v>1315</v>
      </c>
      <c r="DP19" t="s">
        <v>1505</v>
      </c>
      <c r="DQ19">
        <v>1281</v>
      </c>
      <c r="ED19" t="s">
        <v>1059</v>
      </c>
      <c r="EE19">
        <v>122</v>
      </c>
      <c r="EY19" t="s">
        <v>1367</v>
      </c>
      <c r="EZ19">
        <v>1219</v>
      </c>
      <c r="FF19" t="s">
        <v>1400</v>
      </c>
      <c r="FG19">
        <v>13246</v>
      </c>
      <c r="FT19" t="s">
        <v>1544</v>
      </c>
      <c r="FU19">
        <v>144</v>
      </c>
      <c r="GH19" t="s">
        <v>1444</v>
      </c>
      <c r="GI19">
        <v>2071</v>
      </c>
      <c r="GV19" t="s">
        <v>1400</v>
      </c>
      <c r="GW19">
        <v>12732</v>
      </c>
      <c r="HC19" t="s">
        <v>1285</v>
      </c>
      <c r="HD19">
        <v>176</v>
      </c>
      <c r="HQ19" t="s">
        <v>1091</v>
      </c>
      <c r="HR19">
        <v>2075</v>
      </c>
      <c r="IE19" t="s">
        <v>683</v>
      </c>
      <c r="IF19">
        <v>1048</v>
      </c>
      <c r="IZ19" t="s">
        <v>1019</v>
      </c>
      <c r="JA19">
        <v>1589</v>
      </c>
      <c r="JN19" t="s">
        <v>697</v>
      </c>
      <c r="JO19">
        <v>1014</v>
      </c>
      <c r="JU19" t="s">
        <v>948</v>
      </c>
      <c r="JV19">
        <v>1593</v>
      </c>
      <c r="KB19" t="s">
        <v>465</v>
      </c>
      <c r="KC19">
        <v>237</v>
      </c>
      <c r="KI19" t="s">
        <v>318</v>
      </c>
      <c r="KJ19">
        <v>958</v>
      </c>
      <c r="LD19" t="s">
        <v>1310</v>
      </c>
      <c r="LE19">
        <v>796</v>
      </c>
      <c r="LY19" t="s">
        <v>1037</v>
      </c>
      <c r="LZ19">
        <v>863</v>
      </c>
      <c r="NV19" t="s">
        <v>888</v>
      </c>
      <c r="NW19">
        <v>265</v>
      </c>
      <c r="OC19" t="s">
        <v>1633</v>
      </c>
      <c r="OD19">
        <v>2051</v>
      </c>
    </row>
    <row r="20" spans="8:394">
      <c r="O20" t="s">
        <v>865</v>
      </c>
      <c r="P20">
        <v>1520</v>
      </c>
      <c r="AC20" t="s">
        <v>849</v>
      </c>
      <c r="AD20">
        <v>1506</v>
      </c>
      <c r="AQ20" t="s">
        <v>1189</v>
      </c>
      <c r="AR20">
        <v>276</v>
      </c>
      <c r="AX20" t="s">
        <v>903</v>
      </c>
      <c r="AY20">
        <v>1560</v>
      </c>
      <c r="BE20" t="s">
        <v>786</v>
      </c>
      <c r="BF20">
        <v>66</v>
      </c>
      <c r="CG20" t="s">
        <v>764</v>
      </c>
      <c r="CH20">
        <v>89</v>
      </c>
      <c r="CN20" t="s">
        <v>209</v>
      </c>
      <c r="CO20">
        <v>1324</v>
      </c>
      <c r="DB20" t="s">
        <v>1146</v>
      </c>
      <c r="DC20">
        <v>1307</v>
      </c>
      <c r="DP20" t="s">
        <v>1508</v>
      </c>
      <c r="DQ20">
        <v>1289</v>
      </c>
      <c r="ED20" t="s">
        <v>1151</v>
      </c>
      <c r="EE20">
        <v>125</v>
      </c>
      <c r="EY20" t="s">
        <v>640</v>
      </c>
      <c r="EZ20">
        <v>1216</v>
      </c>
      <c r="FT20" t="s">
        <v>1020</v>
      </c>
      <c r="FU20">
        <v>142</v>
      </c>
      <c r="GH20" t="s">
        <v>739</v>
      </c>
      <c r="GI20">
        <v>157</v>
      </c>
      <c r="HC20" t="s">
        <v>1328</v>
      </c>
      <c r="HD20">
        <v>169</v>
      </c>
      <c r="HQ20" t="s">
        <v>431</v>
      </c>
      <c r="HR20">
        <v>186</v>
      </c>
      <c r="IE20" t="s">
        <v>860</v>
      </c>
      <c r="IF20">
        <v>1059</v>
      </c>
      <c r="IZ20" t="s">
        <v>445</v>
      </c>
      <c r="JA20">
        <v>1769</v>
      </c>
      <c r="JN20" t="s">
        <v>681</v>
      </c>
      <c r="JO20">
        <v>1013</v>
      </c>
      <c r="JU20" t="s">
        <v>1325</v>
      </c>
      <c r="JV20">
        <v>1585</v>
      </c>
      <c r="KB20" t="s">
        <v>145</v>
      </c>
      <c r="KC20">
        <v>16906</v>
      </c>
      <c r="KI20" t="s">
        <v>701</v>
      </c>
      <c r="KJ20">
        <v>1272</v>
      </c>
      <c r="LD20" t="s">
        <v>1558</v>
      </c>
      <c r="LE20">
        <v>1878</v>
      </c>
      <c r="LY20" t="s">
        <v>986</v>
      </c>
      <c r="LZ20">
        <v>929</v>
      </c>
      <c r="NV20" t="s">
        <v>1119</v>
      </c>
      <c r="NW20">
        <v>262</v>
      </c>
      <c r="OC20" t="s">
        <v>145</v>
      </c>
      <c r="OD20">
        <v>9066</v>
      </c>
    </row>
    <row r="21" spans="8:394">
      <c r="O21" t="s">
        <v>506</v>
      </c>
      <c r="P21">
        <v>1521</v>
      </c>
      <c r="AC21" t="s">
        <v>398</v>
      </c>
      <c r="AD21">
        <v>1503</v>
      </c>
      <c r="AQ21" t="s">
        <v>1392</v>
      </c>
      <c r="AR21">
        <v>23</v>
      </c>
      <c r="AX21" t="s">
        <v>907</v>
      </c>
      <c r="AY21">
        <v>1561</v>
      </c>
      <c r="BE21" t="s">
        <v>535</v>
      </c>
      <c r="BF21">
        <v>63</v>
      </c>
      <c r="CG21" t="s">
        <v>145</v>
      </c>
      <c r="CH21">
        <v>56834</v>
      </c>
      <c r="CN21" t="s">
        <v>1323</v>
      </c>
      <c r="CO21">
        <v>1325</v>
      </c>
      <c r="DB21" t="s">
        <v>224</v>
      </c>
      <c r="DC21">
        <v>1316</v>
      </c>
      <c r="DP21" t="s">
        <v>1299</v>
      </c>
      <c r="DQ21">
        <v>1300</v>
      </c>
      <c r="ED21" t="s">
        <v>517</v>
      </c>
      <c r="EE21">
        <v>113</v>
      </c>
      <c r="EY21" t="s">
        <v>1014</v>
      </c>
      <c r="EZ21">
        <v>1883</v>
      </c>
      <c r="FT21" t="s">
        <v>972</v>
      </c>
      <c r="FU21">
        <v>146</v>
      </c>
      <c r="GH21" t="s">
        <v>597</v>
      </c>
      <c r="GI21">
        <v>275</v>
      </c>
      <c r="HC21" t="s">
        <v>411</v>
      </c>
      <c r="HD21">
        <v>166</v>
      </c>
      <c r="HQ21" t="s">
        <v>795</v>
      </c>
      <c r="HR21">
        <v>1767</v>
      </c>
      <c r="IE21" t="s">
        <v>1602</v>
      </c>
      <c r="IF21">
        <v>1044</v>
      </c>
      <c r="IZ21" t="s">
        <v>249</v>
      </c>
      <c r="JA21">
        <v>211</v>
      </c>
      <c r="JN21" t="s">
        <v>874</v>
      </c>
      <c r="JO21">
        <v>1017</v>
      </c>
      <c r="JU21" t="s">
        <v>1182</v>
      </c>
      <c r="JV21">
        <v>220</v>
      </c>
      <c r="KB21" t="s">
        <v>464</v>
      </c>
      <c r="KC21">
        <v>976</v>
      </c>
      <c r="KI21" t="s">
        <v>1494</v>
      </c>
      <c r="KJ21">
        <v>963</v>
      </c>
      <c r="LD21" t="s">
        <v>290</v>
      </c>
      <c r="LE21">
        <v>793</v>
      </c>
      <c r="LY21" t="s">
        <v>1185</v>
      </c>
      <c r="LZ21">
        <v>933</v>
      </c>
      <c r="NV21" t="s">
        <v>735</v>
      </c>
      <c r="NW21">
        <v>261</v>
      </c>
      <c r="OC21" t="s">
        <v>1643</v>
      </c>
      <c r="OD21">
        <v>1548</v>
      </c>
    </row>
    <row r="22" spans="8:394">
      <c r="O22" t="s">
        <v>707</v>
      </c>
      <c r="P22">
        <v>1526</v>
      </c>
      <c r="AC22" t="s">
        <v>1400</v>
      </c>
      <c r="AD22">
        <v>13893</v>
      </c>
      <c r="AQ22" t="s">
        <v>1193</v>
      </c>
      <c r="AR22">
        <v>2055</v>
      </c>
      <c r="AX22" t="s">
        <v>1212</v>
      </c>
      <c r="AY22">
        <v>1762</v>
      </c>
      <c r="BE22" t="s">
        <v>787</v>
      </c>
      <c r="BF22">
        <v>65</v>
      </c>
      <c r="CG22" t="s">
        <v>1101</v>
      </c>
      <c r="CH22">
        <v>1355</v>
      </c>
      <c r="CN22" t="s">
        <v>1359</v>
      </c>
      <c r="CO22">
        <v>1329</v>
      </c>
      <c r="DB22" t="s">
        <v>1478</v>
      </c>
      <c r="DC22">
        <v>1317</v>
      </c>
      <c r="DP22" t="s">
        <v>501</v>
      </c>
      <c r="DQ22">
        <v>1284</v>
      </c>
      <c r="ED22" t="s">
        <v>928</v>
      </c>
      <c r="EE22">
        <v>2068</v>
      </c>
      <c r="EY22" t="s">
        <v>236</v>
      </c>
      <c r="EZ22">
        <v>840</v>
      </c>
      <c r="FT22" t="s">
        <v>920</v>
      </c>
      <c r="FU22">
        <v>148</v>
      </c>
      <c r="GH22" t="s">
        <v>145</v>
      </c>
      <c r="GI22">
        <v>32620</v>
      </c>
      <c r="HC22" t="s">
        <v>605</v>
      </c>
      <c r="HD22">
        <v>167</v>
      </c>
      <c r="HQ22" t="s">
        <v>872</v>
      </c>
      <c r="HR22">
        <v>187</v>
      </c>
      <c r="IE22" t="s">
        <v>270</v>
      </c>
      <c r="IF22">
        <v>1043</v>
      </c>
      <c r="IZ22" t="s">
        <v>952</v>
      </c>
      <c r="JA22">
        <v>1773</v>
      </c>
      <c r="JN22" t="s">
        <v>682</v>
      </c>
      <c r="JO22">
        <v>1001</v>
      </c>
      <c r="JU22" t="s">
        <v>884</v>
      </c>
      <c r="JV22">
        <v>227</v>
      </c>
      <c r="KB22" t="s">
        <v>93</v>
      </c>
      <c r="KC22">
        <v>978</v>
      </c>
      <c r="KI22" t="s">
        <v>800</v>
      </c>
      <c r="KJ22">
        <v>964</v>
      </c>
      <c r="LD22" t="s">
        <v>995</v>
      </c>
      <c r="LE22">
        <v>794</v>
      </c>
      <c r="LY22" t="s">
        <v>1470</v>
      </c>
      <c r="LZ22">
        <v>935</v>
      </c>
      <c r="NV22" t="s">
        <v>145</v>
      </c>
      <c r="NW22">
        <v>34734</v>
      </c>
      <c r="OC22" t="s">
        <v>1645</v>
      </c>
      <c r="OD22">
        <v>2212</v>
      </c>
    </row>
    <row r="23" spans="8:394">
      <c r="O23" t="s">
        <v>869</v>
      </c>
      <c r="P23">
        <v>1527</v>
      </c>
      <c r="AQ23" t="s">
        <v>1320</v>
      </c>
      <c r="AR23">
        <v>24</v>
      </c>
      <c r="AX23" t="s">
        <v>1006</v>
      </c>
      <c r="AY23">
        <v>283</v>
      </c>
      <c r="BE23" t="s">
        <v>1406</v>
      </c>
      <c r="BF23">
        <v>71</v>
      </c>
      <c r="CG23" t="s">
        <v>186</v>
      </c>
      <c r="CH23">
        <v>1362</v>
      </c>
      <c r="CN23" t="s">
        <v>1143</v>
      </c>
      <c r="CO23">
        <v>1334</v>
      </c>
      <c r="DB23" t="s">
        <v>225</v>
      </c>
      <c r="DC23">
        <v>1306</v>
      </c>
      <c r="DP23" t="s">
        <v>1502</v>
      </c>
      <c r="DQ23">
        <v>1295</v>
      </c>
      <c r="ED23" t="s">
        <v>1152</v>
      </c>
      <c r="EE23">
        <v>109</v>
      </c>
      <c r="EY23" t="s">
        <v>237</v>
      </c>
      <c r="EZ23">
        <v>1205</v>
      </c>
      <c r="FT23" t="s">
        <v>921</v>
      </c>
      <c r="FU23">
        <v>147</v>
      </c>
      <c r="GH23" t="s">
        <v>968</v>
      </c>
      <c r="GI23">
        <v>1155</v>
      </c>
      <c r="HC23" t="s">
        <v>145</v>
      </c>
      <c r="HD23">
        <v>59363</v>
      </c>
      <c r="HQ23" t="s">
        <v>435</v>
      </c>
      <c r="HR23">
        <v>179</v>
      </c>
      <c r="IE23" t="s">
        <v>859</v>
      </c>
      <c r="IF23">
        <v>1055</v>
      </c>
      <c r="IZ23" t="s">
        <v>1611</v>
      </c>
      <c r="JA23">
        <v>1786</v>
      </c>
      <c r="JN23" t="s">
        <v>926</v>
      </c>
      <c r="JO23">
        <v>1002</v>
      </c>
      <c r="JU23" t="s">
        <v>1181</v>
      </c>
      <c r="JV23">
        <v>1575</v>
      </c>
      <c r="KB23" t="s">
        <v>1528</v>
      </c>
      <c r="KC23">
        <v>985</v>
      </c>
      <c r="KI23" t="s">
        <v>529</v>
      </c>
      <c r="KJ23">
        <v>969</v>
      </c>
      <c r="LD23" t="s">
        <v>990</v>
      </c>
      <c r="LE23">
        <v>795</v>
      </c>
      <c r="LY23" t="s">
        <v>308</v>
      </c>
      <c r="LZ23">
        <v>931</v>
      </c>
      <c r="NV23" t="s">
        <v>645</v>
      </c>
      <c r="NW23">
        <v>885</v>
      </c>
      <c r="OC23" t="s">
        <v>1642</v>
      </c>
      <c r="OD23">
        <v>1547</v>
      </c>
    </row>
    <row r="24" spans="8:394">
      <c r="O24" t="s">
        <v>712</v>
      </c>
      <c r="P24">
        <v>1530</v>
      </c>
      <c r="AQ24" t="s">
        <v>316</v>
      </c>
      <c r="AR24">
        <v>29</v>
      </c>
      <c r="AX24" t="s">
        <v>1068</v>
      </c>
      <c r="AY24">
        <v>2063</v>
      </c>
      <c r="BE24" t="s">
        <v>145</v>
      </c>
      <c r="BF24">
        <v>55150</v>
      </c>
      <c r="CG24" t="s">
        <v>187</v>
      </c>
      <c r="CH24">
        <v>1341</v>
      </c>
      <c r="CN24" t="s">
        <v>211</v>
      </c>
      <c r="CO24">
        <v>1327</v>
      </c>
      <c r="DB24" t="s">
        <v>226</v>
      </c>
      <c r="DC24">
        <v>1312</v>
      </c>
      <c r="DP24" t="s">
        <v>440</v>
      </c>
      <c r="DQ24">
        <v>1301</v>
      </c>
      <c r="ED24" t="s">
        <v>515</v>
      </c>
      <c r="EE24">
        <v>119</v>
      </c>
      <c r="EY24" t="s">
        <v>395</v>
      </c>
      <c r="EZ24">
        <v>1217</v>
      </c>
      <c r="FT24" t="s">
        <v>1539</v>
      </c>
      <c r="FU24">
        <v>141</v>
      </c>
      <c r="GH24" t="s">
        <v>966</v>
      </c>
      <c r="GI24">
        <v>1153</v>
      </c>
      <c r="HC24" t="s">
        <v>1177</v>
      </c>
      <c r="HD24">
        <v>1118</v>
      </c>
      <c r="HQ24" t="s">
        <v>1089</v>
      </c>
      <c r="HR24">
        <v>185</v>
      </c>
      <c r="IE24" t="s">
        <v>1280</v>
      </c>
      <c r="IF24">
        <v>1052</v>
      </c>
      <c r="IZ24" t="s">
        <v>1418</v>
      </c>
      <c r="JA24">
        <v>208</v>
      </c>
      <c r="JN24" t="s">
        <v>695</v>
      </c>
      <c r="JO24">
        <v>1004</v>
      </c>
      <c r="JU24" t="s">
        <v>951</v>
      </c>
      <c r="JV24">
        <v>309</v>
      </c>
      <c r="KB24" t="s">
        <v>810</v>
      </c>
      <c r="KC24">
        <v>987</v>
      </c>
      <c r="KI24" t="s">
        <v>528</v>
      </c>
      <c r="KJ24">
        <v>827</v>
      </c>
      <c r="LD24" t="s">
        <v>1319</v>
      </c>
      <c r="LE24">
        <v>803</v>
      </c>
      <c r="LY24" t="s">
        <v>1469</v>
      </c>
      <c r="LZ24">
        <v>932</v>
      </c>
      <c r="NV24" t="s">
        <v>890</v>
      </c>
      <c r="NW24">
        <v>898</v>
      </c>
      <c r="OC24" t="s">
        <v>1641</v>
      </c>
      <c r="OD24">
        <v>1546</v>
      </c>
    </row>
    <row r="25" spans="8:394">
      <c r="O25" t="s">
        <v>615</v>
      </c>
      <c r="P25">
        <v>1528</v>
      </c>
      <c r="AQ25" t="s">
        <v>1271</v>
      </c>
      <c r="AR25">
        <v>1584</v>
      </c>
      <c r="AX25" t="s">
        <v>104</v>
      </c>
      <c r="AY25">
        <v>35</v>
      </c>
      <c r="BE25" t="s">
        <v>1462</v>
      </c>
      <c r="BF25">
        <v>1398</v>
      </c>
      <c r="CG25" t="s">
        <v>243</v>
      </c>
      <c r="CH25">
        <v>1342</v>
      </c>
      <c r="CN25" t="s">
        <v>601</v>
      </c>
      <c r="CO25">
        <v>1332</v>
      </c>
      <c r="DB25" t="s">
        <v>227</v>
      </c>
      <c r="DC25">
        <v>1305</v>
      </c>
      <c r="DP25" t="s">
        <v>1511</v>
      </c>
      <c r="DQ25">
        <v>1288</v>
      </c>
      <c r="ED25" t="s">
        <v>782</v>
      </c>
      <c r="EE25">
        <v>110</v>
      </c>
      <c r="EY25" t="s">
        <v>1114</v>
      </c>
      <c r="EZ25">
        <v>1220</v>
      </c>
      <c r="FT25" t="s">
        <v>1543</v>
      </c>
      <c r="FU25">
        <v>143</v>
      </c>
      <c r="GH25" t="s">
        <v>883</v>
      </c>
      <c r="GI25">
        <v>2234</v>
      </c>
      <c r="HC25" t="s">
        <v>877</v>
      </c>
      <c r="HD25">
        <v>1093</v>
      </c>
      <c r="HQ25" t="s">
        <v>145</v>
      </c>
      <c r="HR25">
        <v>27976</v>
      </c>
      <c r="IE25" t="s">
        <v>982</v>
      </c>
      <c r="IF25">
        <v>1050</v>
      </c>
      <c r="IZ25" t="s">
        <v>1419</v>
      </c>
      <c r="JA25">
        <v>1771</v>
      </c>
      <c r="JN25" t="s">
        <v>685</v>
      </c>
      <c r="JO25">
        <v>832</v>
      </c>
      <c r="JU25" t="s">
        <v>1608</v>
      </c>
      <c r="JV25">
        <v>1785</v>
      </c>
      <c r="KB25" t="s">
        <v>1381</v>
      </c>
      <c r="KC25">
        <v>1712</v>
      </c>
      <c r="KI25" t="s">
        <v>1088</v>
      </c>
      <c r="KJ25">
        <v>974</v>
      </c>
      <c r="LD25" t="s">
        <v>292</v>
      </c>
      <c r="LE25">
        <v>791</v>
      </c>
      <c r="LY25" t="s">
        <v>404</v>
      </c>
      <c r="LZ25">
        <v>928</v>
      </c>
      <c r="NV25" t="s">
        <v>781</v>
      </c>
      <c r="NW25">
        <v>906</v>
      </c>
      <c r="OC25" t="s">
        <v>1644</v>
      </c>
      <c r="OD25">
        <v>2213</v>
      </c>
    </row>
    <row r="26" spans="8:394">
      <c r="O26" t="s">
        <v>759</v>
      </c>
      <c r="P26">
        <v>1523</v>
      </c>
      <c r="AQ26" t="s">
        <v>1251</v>
      </c>
      <c r="AR26">
        <v>2057</v>
      </c>
      <c r="AX26" t="s">
        <v>974</v>
      </c>
      <c r="AY26">
        <v>56</v>
      </c>
      <c r="BE26" t="s">
        <v>1135</v>
      </c>
      <c r="BF26">
        <v>1394</v>
      </c>
      <c r="CG26" t="s">
        <v>646</v>
      </c>
      <c r="CH26">
        <v>1352</v>
      </c>
      <c r="CN26" t="s">
        <v>988</v>
      </c>
      <c r="CO26">
        <v>1322</v>
      </c>
      <c r="DB26" t="s">
        <v>229</v>
      </c>
      <c r="DC26">
        <v>1313</v>
      </c>
      <c r="DP26" t="s">
        <v>1056</v>
      </c>
      <c r="DQ26">
        <v>1304</v>
      </c>
      <c r="ED26" t="s">
        <v>1149</v>
      </c>
      <c r="EE26">
        <v>108</v>
      </c>
      <c r="EY26" t="s">
        <v>971</v>
      </c>
      <c r="EZ26">
        <v>1214</v>
      </c>
      <c r="FT26" t="s">
        <v>1541</v>
      </c>
      <c r="FU26">
        <v>139</v>
      </c>
      <c r="GH26" t="s">
        <v>742</v>
      </c>
      <c r="GI26">
        <v>1889</v>
      </c>
      <c r="HC26" t="s">
        <v>532</v>
      </c>
      <c r="HD26">
        <v>1127</v>
      </c>
      <c r="HQ26" t="s">
        <v>828</v>
      </c>
      <c r="HR26">
        <v>1085</v>
      </c>
      <c r="IE26" t="s">
        <v>933</v>
      </c>
      <c r="IF26">
        <v>1058</v>
      </c>
      <c r="IZ26" t="s">
        <v>1420</v>
      </c>
      <c r="JA26">
        <v>2094</v>
      </c>
      <c r="JN26" t="s">
        <v>698</v>
      </c>
      <c r="JO26">
        <v>833</v>
      </c>
      <c r="JU26" t="s">
        <v>997</v>
      </c>
      <c r="JV26">
        <v>1586</v>
      </c>
      <c r="KB26" t="s">
        <v>1525</v>
      </c>
      <c r="KC26">
        <v>977</v>
      </c>
      <c r="KI26" t="s">
        <v>726</v>
      </c>
      <c r="KJ26">
        <v>959</v>
      </c>
      <c r="LD26" t="s">
        <v>293</v>
      </c>
      <c r="LE26">
        <v>785</v>
      </c>
      <c r="LY26" t="s">
        <v>918</v>
      </c>
      <c r="LZ26">
        <v>927</v>
      </c>
      <c r="NV26" t="s">
        <v>439</v>
      </c>
      <c r="NW26">
        <v>911</v>
      </c>
      <c r="OC26" t="s">
        <v>1400</v>
      </c>
      <c r="OD26">
        <v>31234</v>
      </c>
    </row>
    <row r="27" spans="8:394">
      <c r="O27" t="s">
        <v>708</v>
      </c>
      <c r="P27">
        <v>1518</v>
      </c>
      <c r="AQ27" t="s">
        <v>1191</v>
      </c>
      <c r="AR27">
        <v>30</v>
      </c>
      <c r="AX27" t="s">
        <v>105</v>
      </c>
      <c r="AY27">
        <v>55</v>
      </c>
      <c r="BE27" t="s">
        <v>1057</v>
      </c>
      <c r="BF27">
        <v>1390</v>
      </c>
      <c r="CG27" t="s">
        <v>254</v>
      </c>
      <c r="CH27">
        <v>1357</v>
      </c>
      <c r="CN27" t="s">
        <v>1400</v>
      </c>
      <c r="CO27">
        <v>21076</v>
      </c>
      <c r="DB27" t="s">
        <v>856</v>
      </c>
      <c r="DC27">
        <v>1318</v>
      </c>
      <c r="DP27" t="s">
        <v>806</v>
      </c>
      <c r="DQ27">
        <v>1303</v>
      </c>
      <c r="ED27" t="s">
        <v>145</v>
      </c>
      <c r="EE27">
        <v>66904</v>
      </c>
      <c r="EY27" t="s">
        <v>1390</v>
      </c>
      <c r="EZ27">
        <v>1213</v>
      </c>
      <c r="FT27" t="s">
        <v>1315</v>
      </c>
      <c r="FU27">
        <v>1912</v>
      </c>
      <c r="GH27" t="s">
        <v>747</v>
      </c>
      <c r="GI27">
        <v>1159</v>
      </c>
      <c r="HC27" t="s">
        <v>900</v>
      </c>
      <c r="HD27">
        <v>1111</v>
      </c>
      <c r="HQ27" t="s">
        <v>835</v>
      </c>
      <c r="HR27">
        <v>1079</v>
      </c>
      <c r="IE27" t="s">
        <v>1279</v>
      </c>
      <c r="IF27">
        <v>1051</v>
      </c>
      <c r="IZ27" t="s">
        <v>1058</v>
      </c>
      <c r="JA27">
        <v>1571</v>
      </c>
      <c r="JN27" t="s">
        <v>1296</v>
      </c>
      <c r="JO27">
        <v>1000</v>
      </c>
      <c r="JU27" t="s">
        <v>253</v>
      </c>
      <c r="JV27">
        <v>1577</v>
      </c>
      <c r="KB27" t="s">
        <v>467</v>
      </c>
      <c r="KC27">
        <v>982</v>
      </c>
      <c r="KI27" t="s">
        <v>1371</v>
      </c>
      <c r="KJ27">
        <v>966</v>
      </c>
      <c r="LD27" t="s">
        <v>595</v>
      </c>
      <c r="LE27">
        <v>797</v>
      </c>
      <c r="LY27" t="s">
        <v>1400</v>
      </c>
      <c r="LZ27">
        <v>13660</v>
      </c>
      <c r="NV27" t="s">
        <v>670</v>
      </c>
      <c r="NW27">
        <v>894</v>
      </c>
    </row>
    <row r="28" spans="8:394">
      <c r="O28" t="s">
        <v>711</v>
      </c>
      <c r="P28">
        <v>1524</v>
      </c>
      <c r="AQ28" t="s">
        <v>1589</v>
      </c>
      <c r="AR28">
        <v>26</v>
      </c>
      <c r="AX28" t="s">
        <v>451</v>
      </c>
      <c r="AY28">
        <v>1553</v>
      </c>
      <c r="BE28" t="s">
        <v>1464</v>
      </c>
      <c r="BF28">
        <v>1728</v>
      </c>
      <c r="CG28" t="s">
        <v>1380</v>
      </c>
      <c r="CH28">
        <v>1338</v>
      </c>
      <c r="DB28" t="s">
        <v>230</v>
      </c>
      <c r="DC28">
        <v>1311</v>
      </c>
      <c r="DP28" t="s">
        <v>470</v>
      </c>
      <c r="DQ28">
        <v>1302</v>
      </c>
      <c r="ED28" t="s">
        <v>522</v>
      </c>
      <c r="EE28">
        <v>1270</v>
      </c>
      <c r="EY28" t="s">
        <v>818</v>
      </c>
      <c r="EZ28">
        <v>839</v>
      </c>
      <c r="FT28" t="s">
        <v>1545</v>
      </c>
      <c r="FU28">
        <v>1913</v>
      </c>
      <c r="GH28" t="s">
        <v>744</v>
      </c>
      <c r="GI28">
        <v>1152</v>
      </c>
      <c r="HC28" t="s">
        <v>902</v>
      </c>
      <c r="HD28">
        <v>1092</v>
      </c>
      <c r="HQ28" t="s">
        <v>409</v>
      </c>
      <c r="HR28">
        <v>1071</v>
      </c>
      <c r="IE28" t="s">
        <v>691</v>
      </c>
      <c r="IF28">
        <v>1045</v>
      </c>
      <c r="IZ28" t="s">
        <v>1331</v>
      </c>
      <c r="JA28">
        <v>1567</v>
      </c>
      <c r="JN28" t="s">
        <v>722</v>
      </c>
      <c r="JO28">
        <v>1012</v>
      </c>
      <c r="JU28" t="s">
        <v>1514</v>
      </c>
      <c r="JV28">
        <v>226</v>
      </c>
      <c r="KB28" t="s">
        <v>1227</v>
      </c>
      <c r="KC28">
        <v>979</v>
      </c>
      <c r="KI28" t="s">
        <v>1496</v>
      </c>
      <c r="KJ28">
        <v>2035</v>
      </c>
      <c r="LD28" t="s">
        <v>992</v>
      </c>
      <c r="LE28">
        <v>800</v>
      </c>
      <c r="NV28" t="s">
        <v>648</v>
      </c>
      <c r="NW28">
        <v>865</v>
      </c>
    </row>
    <row r="29" spans="8:394">
      <c r="O29" t="s">
        <v>1404</v>
      </c>
      <c r="P29">
        <v>1531</v>
      </c>
      <c r="AQ29" t="s">
        <v>423</v>
      </c>
      <c r="AR29">
        <v>22</v>
      </c>
      <c r="AX29" t="s">
        <v>1569</v>
      </c>
      <c r="AY29">
        <v>1916</v>
      </c>
      <c r="BE29" t="s">
        <v>943</v>
      </c>
      <c r="BF29">
        <v>1387</v>
      </c>
      <c r="CG29" t="s">
        <v>189</v>
      </c>
      <c r="CH29">
        <v>1339</v>
      </c>
      <c r="DB29" t="s">
        <v>669</v>
      </c>
      <c r="DC29">
        <v>1320</v>
      </c>
      <c r="DP29" t="s">
        <v>930</v>
      </c>
      <c r="DQ29">
        <v>1282</v>
      </c>
      <c r="ED29" t="s">
        <v>576</v>
      </c>
      <c r="EE29">
        <v>1253</v>
      </c>
      <c r="EY29" t="s">
        <v>1442</v>
      </c>
      <c r="EZ29">
        <v>1201</v>
      </c>
      <c r="FT29" t="s">
        <v>145</v>
      </c>
      <c r="FU29">
        <v>42940</v>
      </c>
      <c r="GH29" t="s">
        <v>1205</v>
      </c>
      <c r="GI29">
        <v>1160</v>
      </c>
      <c r="HC29" t="s">
        <v>390</v>
      </c>
      <c r="HD29">
        <v>1116</v>
      </c>
      <c r="HQ29" t="s">
        <v>1094</v>
      </c>
      <c r="HR29">
        <v>1072</v>
      </c>
      <c r="IE29" t="s">
        <v>272</v>
      </c>
      <c r="IF29">
        <v>1057</v>
      </c>
      <c r="IZ29" t="s">
        <v>1421</v>
      </c>
      <c r="JA29">
        <v>2089</v>
      </c>
      <c r="JN29" t="s">
        <v>687</v>
      </c>
      <c r="JO29">
        <v>1010</v>
      </c>
      <c r="JU29" t="s">
        <v>122</v>
      </c>
      <c r="JV29">
        <v>222</v>
      </c>
      <c r="KB29" t="s">
        <v>403</v>
      </c>
      <c r="KC29">
        <v>975</v>
      </c>
      <c r="KI29" t="s">
        <v>987</v>
      </c>
      <c r="KJ29">
        <v>867</v>
      </c>
      <c r="LD29" t="s">
        <v>993</v>
      </c>
      <c r="LE29">
        <v>799</v>
      </c>
      <c r="NV29" t="s">
        <v>649</v>
      </c>
      <c r="NW29">
        <v>828</v>
      </c>
    </row>
    <row r="30" spans="8:394">
      <c r="O30" t="s">
        <v>709</v>
      </c>
      <c r="P30">
        <v>1532</v>
      </c>
      <c r="AQ30" t="s">
        <v>1080</v>
      </c>
      <c r="AR30">
        <v>1911</v>
      </c>
      <c r="AX30" t="s">
        <v>1612</v>
      </c>
      <c r="AY30">
        <v>2100</v>
      </c>
      <c r="BE30" t="s">
        <v>505</v>
      </c>
      <c r="BF30">
        <v>1385</v>
      </c>
      <c r="CG30" t="s">
        <v>190</v>
      </c>
      <c r="CH30">
        <v>1340</v>
      </c>
      <c r="DB30" t="s">
        <v>1400</v>
      </c>
      <c r="DC30">
        <v>22888</v>
      </c>
      <c r="DP30" t="s">
        <v>1298</v>
      </c>
      <c r="DQ30">
        <v>1278</v>
      </c>
      <c r="ED30" t="s">
        <v>1199</v>
      </c>
      <c r="EE30">
        <v>1266</v>
      </c>
      <c r="EY30" t="s">
        <v>238</v>
      </c>
      <c r="EZ30">
        <v>838</v>
      </c>
      <c r="FT30" t="s">
        <v>1122</v>
      </c>
      <c r="FU30">
        <v>1173</v>
      </c>
      <c r="GH30" t="s">
        <v>1204</v>
      </c>
      <c r="GI30">
        <v>1154</v>
      </c>
      <c r="HC30" t="s">
        <v>703</v>
      </c>
      <c r="HD30">
        <v>1100</v>
      </c>
      <c r="HQ30" t="s">
        <v>603</v>
      </c>
      <c r="HR30">
        <v>1087</v>
      </c>
      <c r="IE30" t="s">
        <v>315</v>
      </c>
      <c r="IF30">
        <v>1056</v>
      </c>
      <c r="IZ30" t="s">
        <v>1139</v>
      </c>
      <c r="JA30">
        <v>201</v>
      </c>
      <c r="JN30" t="s">
        <v>689</v>
      </c>
      <c r="JO30">
        <v>1006</v>
      </c>
      <c r="JU30" t="s">
        <v>1513</v>
      </c>
      <c r="JV30">
        <v>223</v>
      </c>
      <c r="KB30" t="s">
        <v>821</v>
      </c>
      <c r="KC30">
        <v>984</v>
      </c>
      <c r="KI30" t="s">
        <v>778</v>
      </c>
      <c r="KJ30">
        <v>961</v>
      </c>
      <c r="LD30" t="s">
        <v>1400</v>
      </c>
      <c r="LE30">
        <v>20062</v>
      </c>
      <c r="NV30" t="s">
        <v>650</v>
      </c>
      <c r="NW30">
        <v>890</v>
      </c>
    </row>
    <row r="31" spans="8:394">
      <c r="O31" t="s">
        <v>868</v>
      </c>
      <c r="P31">
        <v>1522</v>
      </c>
      <c r="AQ31" t="s">
        <v>1349</v>
      </c>
      <c r="AR31">
        <v>287</v>
      </c>
      <c r="AX31" t="s">
        <v>906</v>
      </c>
      <c r="AY31">
        <v>1755</v>
      </c>
      <c r="BE31" t="s">
        <v>1126</v>
      </c>
      <c r="BF31">
        <v>1389</v>
      </c>
      <c r="CG31" t="s">
        <v>1106</v>
      </c>
      <c r="CH31">
        <v>1727</v>
      </c>
      <c r="DP31" t="s">
        <v>1509</v>
      </c>
      <c r="DQ31">
        <v>1297</v>
      </c>
      <c r="ED31" t="s">
        <v>1163</v>
      </c>
      <c r="EE31">
        <v>1255</v>
      </c>
      <c r="EY31" t="s">
        <v>1441</v>
      </c>
      <c r="EZ31">
        <v>1218</v>
      </c>
      <c r="FT31" t="s">
        <v>549</v>
      </c>
      <c r="FU31">
        <v>1175</v>
      </c>
      <c r="GH31" t="s">
        <v>748</v>
      </c>
      <c r="GI31">
        <v>1158</v>
      </c>
      <c r="HC31" t="s">
        <v>917</v>
      </c>
      <c r="HD31">
        <v>1095</v>
      </c>
      <c r="HQ31" t="s">
        <v>1092</v>
      </c>
      <c r="HR31">
        <v>1076</v>
      </c>
      <c r="IE31" t="s">
        <v>1340</v>
      </c>
      <c r="IF31">
        <v>1047</v>
      </c>
      <c r="IZ31" t="s">
        <v>1422</v>
      </c>
      <c r="JA31">
        <v>198</v>
      </c>
      <c r="JN31" t="s">
        <v>690</v>
      </c>
      <c r="JO31">
        <v>1003</v>
      </c>
      <c r="JU31" t="s">
        <v>144</v>
      </c>
      <c r="JV31">
        <v>1590</v>
      </c>
      <c r="KB31" t="s">
        <v>497</v>
      </c>
      <c r="KC31">
        <v>981</v>
      </c>
      <c r="KI31" t="s">
        <v>1170</v>
      </c>
      <c r="KJ31">
        <v>972</v>
      </c>
      <c r="NV31" t="s">
        <v>891</v>
      </c>
      <c r="NW31">
        <v>907</v>
      </c>
    </row>
    <row r="32" spans="8:394">
      <c r="O32" t="s">
        <v>1400</v>
      </c>
      <c r="P32">
        <v>26018</v>
      </c>
      <c r="AQ32" t="s">
        <v>1590</v>
      </c>
      <c r="AR32">
        <v>21</v>
      </c>
      <c r="AX32" t="s">
        <v>1210</v>
      </c>
      <c r="AY32">
        <v>41</v>
      </c>
      <c r="BE32" t="s">
        <v>622</v>
      </c>
      <c r="BF32">
        <v>1383</v>
      </c>
      <c r="CG32" t="s">
        <v>304</v>
      </c>
      <c r="CH32">
        <v>1351</v>
      </c>
      <c r="DP32" t="s">
        <v>1506</v>
      </c>
      <c r="DQ32">
        <v>1299</v>
      </c>
      <c r="ED32" t="s">
        <v>679</v>
      </c>
      <c r="EE32">
        <v>1227</v>
      </c>
      <c r="EY32" t="s">
        <v>463</v>
      </c>
      <c r="EZ32">
        <v>1202</v>
      </c>
      <c r="FT32" t="s">
        <v>1553</v>
      </c>
      <c r="FU32">
        <v>1183</v>
      </c>
      <c r="GH32" t="s">
        <v>882</v>
      </c>
      <c r="GI32">
        <v>2041</v>
      </c>
      <c r="HC32" t="s">
        <v>1292</v>
      </c>
      <c r="HD32">
        <v>1110</v>
      </c>
      <c r="HQ32" t="s">
        <v>873</v>
      </c>
      <c r="HR32">
        <v>1088</v>
      </c>
      <c r="IE32" t="s">
        <v>717</v>
      </c>
      <c r="IF32">
        <v>1062</v>
      </c>
      <c r="IZ32" t="s">
        <v>834</v>
      </c>
      <c r="JA32">
        <v>2081</v>
      </c>
      <c r="JN32" t="s">
        <v>1203</v>
      </c>
      <c r="JO32">
        <v>1011</v>
      </c>
      <c r="JU32" t="s">
        <v>547</v>
      </c>
      <c r="JV32">
        <v>1776</v>
      </c>
      <c r="KB32" t="s">
        <v>573</v>
      </c>
      <c r="KC32">
        <v>1711</v>
      </c>
      <c r="KI32" t="s">
        <v>494</v>
      </c>
      <c r="KJ32">
        <v>790</v>
      </c>
      <c r="NV32" t="s">
        <v>651</v>
      </c>
      <c r="NW32">
        <v>878</v>
      </c>
    </row>
    <row r="33" spans="43:387">
      <c r="AQ33" t="s">
        <v>1188</v>
      </c>
      <c r="AR33">
        <v>277</v>
      </c>
      <c r="AX33" t="s">
        <v>978</v>
      </c>
      <c r="AY33">
        <v>1904</v>
      </c>
      <c r="BE33" t="s">
        <v>1461</v>
      </c>
      <c r="BF33">
        <v>1382</v>
      </c>
      <c r="CG33" t="s">
        <v>191</v>
      </c>
      <c r="CH33">
        <v>1360</v>
      </c>
      <c r="DP33" t="s">
        <v>620</v>
      </c>
      <c r="DQ33">
        <v>1276</v>
      </c>
      <c r="ED33" t="s">
        <v>231</v>
      </c>
      <c r="EE33">
        <v>1224</v>
      </c>
      <c r="EY33" t="s">
        <v>239</v>
      </c>
      <c r="EZ33">
        <v>1203</v>
      </c>
      <c r="FT33" t="s">
        <v>871</v>
      </c>
      <c r="FU33">
        <v>1179</v>
      </c>
      <c r="GH33" t="s">
        <v>1206</v>
      </c>
      <c r="GI33">
        <v>2222</v>
      </c>
      <c r="HC33" t="s">
        <v>260</v>
      </c>
      <c r="HD33">
        <v>1124</v>
      </c>
      <c r="HQ33" t="s">
        <v>410</v>
      </c>
      <c r="HR33">
        <v>1077</v>
      </c>
      <c r="IE33" t="s">
        <v>1180</v>
      </c>
      <c r="IF33">
        <v>1060</v>
      </c>
      <c r="IZ33" t="s">
        <v>1423</v>
      </c>
      <c r="JA33">
        <v>1772</v>
      </c>
      <c r="JN33" t="s">
        <v>927</v>
      </c>
      <c r="JO33">
        <v>834</v>
      </c>
      <c r="JU33" t="s">
        <v>420</v>
      </c>
      <c r="JV33">
        <v>219</v>
      </c>
      <c r="KB33" t="s">
        <v>1526</v>
      </c>
      <c r="KC33">
        <v>1710</v>
      </c>
      <c r="KI33" t="s">
        <v>604</v>
      </c>
      <c r="KJ33">
        <v>971</v>
      </c>
      <c r="NV33" t="s">
        <v>652</v>
      </c>
      <c r="NW33">
        <v>877</v>
      </c>
    </row>
    <row r="34" spans="43:387">
      <c r="AQ34" t="s">
        <v>1192</v>
      </c>
      <c r="AR34">
        <v>31</v>
      </c>
      <c r="AX34" t="s">
        <v>563</v>
      </c>
      <c r="AY34">
        <v>50</v>
      </c>
      <c r="BE34" t="s">
        <v>1460</v>
      </c>
      <c r="BF34">
        <v>1391</v>
      </c>
      <c r="CG34" t="s">
        <v>192</v>
      </c>
      <c r="CH34">
        <v>1337</v>
      </c>
      <c r="DP34" t="s">
        <v>1507</v>
      </c>
      <c r="DQ34">
        <v>1298</v>
      </c>
      <c r="ED34" t="s">
        <v>1166</v>
      </c>
      <c r="EE34">
        <v>1258</v>
      </c>
      <c r="EY34" t="s">
        <v>566</v>
      </c>
      <c r="EZ34">
        <v>1200</v>
      </c>
      <c r="FT34" t="s">
        <v>99</v>
      </c>
      <c r="FU34">
        <v>1174</v>
      </c>
      <c r="GH34" t="s">
        <v>973</v>
      </c>
      <c r="GI34">
        <v>861</v>
      </c>
      <c r="HC34" t="s">
        <v>538</v>
      </c>
      <c r="HD34">
        <v>1119</v>
      </c>
      <c r="HQ34" t="s">
        <v>1346</v>
      </c>
      <c r="HR34">
        <v>1082</v>
      </c>
      <c r="IE34" t="s">
        <v>692</v>
      </c>
      <c r="IF34">
        <v>1053</v>
      </c>
      <c r="IZ34" t="s">
        <v>1385</v>
      </c>
      <c r="JA34">
        <v>307</v>
      </c>
      <c r="JN34" t="s">
        <v>702</v>
      </c>
      <c r="JO34">
        <v>1008</v>
      </c>
      <c r="JU34" t="s">
        <v>1022</v>
      </c>
      <c r="JV34">
        <v>310</v>
      </c>
      <c r="KB34" t="s">
        <v>320</v>
      </c>
      <c r="KC34">
        <v>983</v>
      </c>
      <c r="KI34" t="s">
        <v>1493</v>
      </c>
      <c r="KJ34">
        <v>970</v>
      </c>
      <c r="NV34" t="s">
        <v>653</v>
      </c>
      <c r="NW34">
        <v>880</v>
      </c>
    </row>
    <row r="35" spans="43:387">
      <c r="AQ35" t="s">
        <v>1401</v>
      </c>
      <c r="AR35">
        <v>286</v>
      </c>
      <c r="AX35" t="s">
        <v>450</v>
      </c>
      <c r="AY35">
        <v>54</v>
      </c>
      <c r="BE35" t="s">
        <v>1127</v>
      </c>
      <c r="BF35">
        <v>1376</v>
      </c>
      <c r="CG35" t="s">
        <v>193</v>
      </c>
      <c r="CH35">
        <v>1361</v>
      </c>
      <c r="DP35" t="s">
        <v>1504</v>
      </c>
      <c r="DQ35">
        <v>1290</v>
      </c>
      <c r="ED35" t="s">
        <v>167</v>
      </c>
      <c r="EE35">
        <v>1240</v>
      </c>
      <c r="EY35" t="s">
        <v>641</v>
      </c>
      <c r="EZ35">
        <v>1206</v>
      </c>
      <c r="FT35" t="s">
        <v>100</v>
      </c>
      <c r="FU35">
        <v>1185</v>
      </c>
      <c r="GH35" t="s">
        <v>745</v>
      </c>
      <c r="GI35">
        <v>2042</v>
      </c>
      <c r="HC35" t="s">
        <v>1178</v>
      </c>
      <c r="HD35">
        <v>1131</v>
      </c>
      <c r="HQ35" t="s">
        <v>1093</v>
      </c>
      <c r="HR35">
        <v>1081</v>
      </c>
      <c r="IE35" t="s">
        <v>861</v>
      </c>
      <c r="IF35">
        <v>848</v>
      </c>
      <c r="IZ35" t="s">
        <v>1424</v>
      </c>
      <c r="JA35">
        <v>207</v>
      </c>
      <c r="JN35" t="s">
        <v>1357</v>
      </c>
      <c r="JO35">
        <v>1700</v>
      </c>
      <c r="JU35" t="s">
        <v>145</v>
      </c>
      <c r="JV35">
        <v>36308</v>
      </c>
      <c r="KB35" t="s">
        <v>1527</v>
      </c>
      <c r="KC35">
        <v>986</v>
      </c>
      <c r="KI35" t="s">
        <v>1495</v>
      </c>
      <c r="KJ35">
        <v>967</v>
      </c>
      <c r="NV35" t="s">
        <v>654</v>
      </c>
      <c r="NW35">
        <v>875</v>
      </c>
    </row>
    <row r="36" spans="43:387">
      <c r="AQ36" t="s">
        <v>1190</v>
      </c>
      <c r="AR36">
        <v>297</v>
      </c>
      <c r="AX36" t="s">
        <v>962</v>
      </c>
      <c r="AY36">
        <v>39</v>
      </c>
      <c r="BE36" t="s">
        <v>1467</v>
      </c>
      <c r="BF36">
        <v>862</v>
      </c>
      <c r="CG36" t="s">
        <v>1100</v>
      </c>
      <c r="CH36">
        <v>1726</v>
      </c>
      <c r="DP36" t="s">
        <v>1117</v>
      </c>
      <c r="DQ36">
        <v>1279</v>
      </c>
      <c r="ED36" t="s">
        <v>518</v>
      </c>
      <c r="EE36">
        <v>1247</v>
      </c>
      <c r="EY36" t="s">
        <v>413</v>
      </c>
      <c r="EZ36">
        <v>1204</v>
      </c>
      <c r="FT36" t="s">
        <v>923</v>
      </c>
      <c r="FU36">
        <v>837</v>
      </c>
      <c r="GH36" t="s">
        <v>1449</v>
      </c>
      <c r="GI36">
        <v>1156</v>
      </c>
      <c r="HC36" t="s">
        <v>1355</v>
      </c>
      <c r="HD36">
        <v>1104</v>
      </c>
      <c r="HQ36" t="s">
        <v>553</v>
      </c>
      <c r="HR36">
        <v>1078</v>
      </c>
      <c r="IE36" t="s">
        <v>273</v>
      </c>
      <c r="IF36">
        <v>1049</v>
      </c>
      <c r="IZ36" t="s">
        <v>438</v>
      </c>
      <c r="JA36">
        <v>1770</v>
      </c>
      <c r="JN36" t="s">
        <v>699</v>
      </c>
      <c r="JO36">
        <v>1005</v>
      </c>
      <c r="JU36" t="s">
        <v>1518</v>
      </c>
      <c r="JV36">
        <v>997</v>
      </c>
      <c r="KB36" t="s">
        <v>1400</v>
      </c>
      <c r="KC36">
        <v>23065</v>
      </c>
      <c r="KI36" t="s">
        <v>1324</v>
      </c>
      <c r="KJ36">
        <v>973</v>
      </c>
      <c r="NV36" t="s">
        <v>1438</v>
      </c>
      <c r="NW36">
        <v>889</v>
      </c>
    </row>
    <row r="37" spans="43:387">
      <c r="AQ37" t="s">
        <v>1591</v>
      </c>
      <c r="AR37">
        <v>20</v>
      </c>
      <c r="AX37" t="s">
        <v>1561</v>
      </c>
      <c r="AY37">
        <v>42</v>
      </c>
      <c r="BE37" t="s">
        <v>944</v>
      </c>
      <c r="BF37">
        <v>2044</v>
      </c>
      <c r="CG37" t="s">
        <v>1102</v>
      </c>
      <c r="CH37">
        <v>1880</v>
      </c>
      <c r="DP37" t="s">
        <v>1187</v>
      </c>
      <c r="DQ37">
        <v>1291</v>
      </c>
      <c r="ED37" t="s">
        <v>1535</v>
      </c>
      <c r="EE37">
        <v>1242</v>
      </c>
      <c r="EY37" t="s">
        <v>1443</v>
      </c>
      <c r="EZ37">
        <v>2237</v>
      </c>
      <c r="FT37" t="s">
        <v>1552</v>
      </c>
      <c r="FU37">
        <v>1184</v>
      </c>
      <c r="GH37" t="s">
        <v>743</v>
      </c>
      <c r="GI37">
        <v>1888</v>
      </c>
      <c r="HC37" t="s">
        <v>1179</v>
      </c>
      <c r="HD37">
        <v>1126</v>
      </c>
      <c r="HQ37" t="s">
        <v>475</v>
      </c>
      <c r="HR37">
        <v>1086</v>
      </c>
      <c r="IE37" t="s">
        <v>1400</v>
      </c>
      <c r="IF37">
        <v>25159</v>
      </c>
      <c r="IZ37" t="s">
        <v>1425</v>
      </c>
      <c r="JA37">
        <v>2093</v>
      </c>
      <c r="JN37" t="s">
        <v>578</v>
      </c>
      <c r="JO37">
        <v>788</v>
      </c>
      <c r="JU37" t="s">
        <v>886</v>
      </c>
      <c r="JV37">
        <v>989</v>
      </c>
      <c r="KI37" t="s">
        <v>898</v>
      </c>
      <c r="KJ37">
        <v>962</v>
      </c>
      <c r="NV37" t="s">
        <v>195</v>
      </c>
      <c r="NW37">
        <v>902</v>
      </c>
    </row>
    <row r="38" spans="43:387">
      <c r="AQ38" t="s">
        <v>1592</v>
      </c>
      <c r="AR38">
        <v>306</v>
      </c>
      <c r="AX38" t="s">
        <v>731</v>
      </c>
      <c r="AY38">
        <v>2060</v>
      </c>
      <c r="BE38" t="s">
        <v>1133</v>
      </c>
      <c r="BF38">
        <v>1372</v>
      </c>
      <c r="CG38" t="s">
        <v>1480</v>
      </c>
      <c r="CH38">
        <v>1344</v>
      </c>
      <c r="DP38" t="s">
        <v>1372</v>
      </c>
      <c r="DQ38">
        <v>1292</v>
      </c>
      <c r="ED38" t="s">
        <v>394</v>
      </c>
      <c r="EE38">
        <v>1246</v>
      </c>
      <c r="EY38" t="s">
        <v>638</v>
      </c>
      <c r="EZ38">
        <v>1212</v>
      </c>
      <c r="FT38" t="s">
        <v>106</v>
      </c>
      <c r="FU38">
        <v>1188</v>
      </c>
      <c r="GH38" t="s">
        <v>967</v>
      </c>
      <c r="GI38">
        <v>1151</v>
      </c>
      <c r="HC38" t="s">
        <v>1009</v>
      </c>
      <c r="HD38">
        <v>1132</v>
      </c>
      <c r="HQ38" t="s">
        <v>476</v>
      </c>
      <c r="HR38">
        <v>1084</v>
      </c>
      <c r="IZ38" t="s">
        <v>1402</v>
      </c>
      <c r="JA38">
        <v>289</v>
      </c>
      <c r="JN38" t="s">
        <v>693</v>
      </c>
      <c r="JO38">
        <v>835</v>
      </c>
      <c r="JU38" t="s">
        <v>130</v>
      </c>
      <c r="JV38">
        <v>1715</v>
      </c>
      <c r="KI38" t="s">
        <v>779</v>
      </c>
      <c r="KJ38">
        <v>960</v>
      </c>
      <c r="NV38" t="s">
        <v>667</v>
      </c>
      <c r="NW38">
        <v>886</v>
      </c>
    </row>
    <row r="39" spans="43:387">
      <c r="AQ39" t="s">
        <v>176</v>
      </c>
      <c r="AR39">
        <v>284</v>
      </c>
      <c r="AX39" t="s">
        <v>137</v>
      </c>
      <c r="AY39">
        <v>1555</v>
      </c>
      <c r="BE39" t="s">
        <v>946</v>
      </c>
      <c r="BF39">
        <v>1369</v>
      </c>
      <c r="CG39" t="s">
        <v>1105</v>
      </c>
      <c r="CH39">
        <v>2240</v>
      </c>
      <c r="DP39" t="s">
        <v>1354</v>
      </c>
      <c r="DQ39">
        <v>1293</v>
      </c>
      <c r="ED39" t="s">
        <v>1161</v>
      </c>
      <c r="EE39">
        <v>1274</v>
      </c>
      <c r="EY39" t="s">
        <v>919</v>
      </c>
      <c r="EZ39">
        <v>858</v>
      </c>
      <c r="FT39" t="s">
        <v>964</v>
      </c>
      <c r="FU39">
        <v>1180</v>
      </c>
      <c r="GH39" t="s">
        <v>1450</v>
      </c>
      <c r="GI39">
        <v>2235</v>
      </c>
      <c r="HC39" t="s">
        <v>1329</v>
      </c>
      <c r="HD39">
        <v>1130</v>
      </c>
      <c r="HQ39" t="s">
        <v>523</v>
      </c>
      <c r="HR39">
        <v>1067</v>
      </c>
      <c r="IZ39" t="s">
        <v>1137</v>
      </c>
      <c r="JA39">
        <v>210</v>
      </c>
      <c r="JN39" t="s">
        <v>1400</v>
      </c>
      <c r="JO39">
        <v>27770</v>
      </c>
      <c r="JU39" t="s">
        <v>1259</v>
      </c>
      <c r="JV39">
        <v>994</v>
      </c>
      <c r="KI39" t="s">
        <v>1400</v>
      </c>
      <c r="KJ39">
        <v>24658</v>
      </c>
      <c r="NV39" t="s">
        <v>539</v>
      </c>
      <c r="NW39">
        <v>883</v>
      </c>
    </row>
    <row r="40" spans="43:387">
      <c r="AQ40" t="s">
        <v>1250</v>
      </c>
      <c r="AR40">
        <v>1902</v>
      </c>
      <c r="AX40" t="s">
        <v>1208</v>
      </c>
      <c r="AY40">
        <v>1556</v>
      </c>
      <c r="BE40" t="s">
        <v>830</v>
      </c>
      <c r="BF40">
        <v>1388</v>
      </c>
      <c r="CG40" t="s">
        <v>1104</v>
      </c>
      <c r="CH40">
        <v>1350</v>
      </c>
      <c r="DP40" t="s">
        <v>643</v>
      </c>
      <c r="DQ40">
        <v>1280</v>
      </c>
      <c r="ED40" t="s">
        <v>1158</v>
      </c>
      <c r="EE40">
        <v>1235</v>
      </c>
      <c r="EY40" t="s">
        <v>639</v>
      </c>
      <c r="EZ40">
        <v>1207</v>
      </c>
      <c r="FT40" t="s">
        <v>537</v>
      </c>
      <c r="FU40">
        <v>1724</v>
      </c>
      <c r="GH40" t="s">
        <v>746</v>
      </c>
      <c r="GI40">
        <v>1890</v>
      </c>
      <c r="HC40" t="s">
        <v>1472</v>
      </c>
      <c r="HD40">
        <v>1722</v>
      </c>
      <c r="HQ40" t="s">
        <v>850</v>
      </c>
      <c r="HR40">
        <v>1068</v>
      </c>
      <c r="IZ40" t="s">
        <v>1426</v>
      </c>
      <c r="JA40">
        <v>2083</v>
      </c>
      <c r="JU40" t="s">
        <v>1333</v>
      </c>
      <c r="JV40">
        <v>1702</v>
      </c>
      <c r="NV40" t="s">
        <v>655</v>
      </c>
      <c r="NW40">
        <v>882</v>
      </c>
    </row>
    <row r="41" spans="43:387">
      <c r="AQ41" t="s">
        <v>754</v>
      </c>
      <c r="AR41">
        <v>32</v>
      </c>
      <c r="AX41" t="s">
        <v>1394</v>
      </c>
      <c r="AY41">
        <v>1557</v>
      </c>
      <c r="BE41" t="s">
        <v>1129</v>
      </c>
      <c r="BF41">
        <v>1729</v>
      </c>
      <c r="CG41" t="s">
        <v>1481</v>
      </c>
      <c r="CH41">
        <v>1353</v>
      </c>
      <c r="DP41" t="s">
        <v>624</v>
      </c>
      <c r="DQ41">
        <v>1294</v>
      </c>
      <c r="ED41" t="s">
        <v>1154</v>
      </c>
      <c r="EE41">
        <v>1245</v>
      </c>
      <c r="EY41" t="s">
        <v>519</v>
      </c>
      <c r="EZ41">
        <v>1208</v>
      </c>
      <c r="FT41" t="s">
        <v>109</v>
      </c>
      <c r="FU41">
        <v>1178</v>
      </c>
      <c r="GH41" t="s">
        <v>1452</v>
      </c>
      <c r="GI41">
        <v>1157</v>
      </c>
      <c r="HC41" t="s">
        <v>1173</v>
      </c>
      <c r="HD41">
        <v>1133</v>
      </c>
      <c r="HQ41" t="s">
        <v>1585</v>
      </c>
      <c r="HR41">
        <v>2232</v>
      </c>
      <c r="IZ41" t="s">
        <v>1427</v>
      </c>
      <c r="JA41">
        <v>2084</v>
      </c>
      <c r="JU41" t="s">
        <v>1377</v>
      </c>
      <c r="JV41">
        <v>991</v>
      </c>
      <c r="NV41" t="s">
        <v>656</v>
      </c>
      <c r="NW41">
        <v>888</v>
      </c>
    </row>
    <row r="42" spans="43:387">
      <c r="AQ42" t="s">
        <v>145</v>
      </c>
      <c r="AR42">
        <v>126195</v>
      </c>
      <c r="AX42" t="s">
        <v>977</v>
      </c>
      <c r="AY42">
        <v>2062</v>
      </c>
      <c r="BE42" t="s">
        <v>1130</v>
      </c>
      <c r="BF42">
        <v>1384</v>
      </c>
      <c r="CG42" t="s">
        <v>196</v>
      </c>
      <c r="CH42">
        <v>1335</v>
      </c>
      <c r="DP42" t="s">
        <v>1503</v>
      </c>
      <c r="DQ42">
        <v>1286</v>
      </c>
      <c r="ED42" t="s">
        <v>1533</v>
      </c>
      <c r="EE42">
        <v>1273</v>
      </c>
      <c r="EY42" t="s">
        <v>1368</v>
      </c>
      <c r="EZ42">
        <v>1210</v>
      </c>
      <c r="FT42" t="s">
        <v>1556</v>
      </c>
      <c r="FU42">
        <v>2032</v>
      </c>
      <c r="GH42" t="s">
        <v>1405</v>
      </c>
      <c r="GI42">
        <v>1723</v>
      </c>
      <c r="HC42" t="s">
        <v>1289</v>
      </c>
      <c r="HD42">
        <v>1090</v>
      </c>
      <c r="HQ42" t="s">
        <v>584</v>
      </c>
      <c r="HR42">
        <v>1080</v>
      </c>
      <c r="IZ42" t="s">
        <v>1083</v>
      </c>
      <c r="JA42">
        <v>1570</v>
      </c>
      <c r="JU42" t="s">
        <v>1378</v>
      </c>
      <c r="JV42">
        <v>813</v>
      </c>
      <c r="NV42" t="s">
        <v>657</v>
      </c>
      <c r="NW42">
        <v>900</v>
      </c>
    </row>
    <row r="43" spans="43:387">
      <c r="AQ43" t="s">
        <v>91</v>
      </c>
      <c r="AR43">
        <v>1464</v>
      </c>
      <c r="AX43" t="s">
        <v>1559</v>
      </c>
      <c r="AY43">
        <v>57</v>
      </c>
      <c r="BE43" t="s">
        <v>960</v>
      </c>
      <c r="BF43">
        <v>1400</v>
      </c>
      <c r="CG43" t="s">
        <v>305</v>
      </c>
      <c r="CH43">
        <v>1345</v>
      </c>
      <c r="DP43" t="s">
        <v>1510</v>
      </c>
      <c r="DQ43">
        <v>1277</v>
      </c>
      <c r="ED43" t="s">
        <v>716</v>
      </c>
      <c r="EE43">
        <v>1238</v>
      </c>
      <c r="EY43" t="s">
        <v>246</v>
      </c>
      <c r="EZ43">
        <v>1199</v>
      </c>
      <c r="FT43" t="s">
        <v>555</v>
      </c>
      <c r="FU43">
        <v>1172</v>
      </c>
      <c r="GH43" t="s">
        <v>1451</v>
      </c>
      <c r="GI43">
        <v>2040</v>
      </c>
      <c r="HC43" t="s">
        <v>901</v>
      </c>
      <c r="HD43">
        <v>1114</v>
      </c>
      <c r="HQ43" t="s">
        <v>1587</v>
      </c>
      <c r="HR43">
        <v>1069</v>
      </c>
      <c r="IZ43" t="s">
        <v>1074</v>
      </c>
      <c r="JA43">
        <v>1569</v>
      </c>
      <c r="JU43" t="s">
        <v>1383</v>
      </c>
      <c r="JV43">
        <v>850</v>
      </c>
      <c r="NV43" t="s">
        <v>495</v>
      </c>
      <c r="NW43">
        <v>904</v>
      </c>
    </row>
    <row r="44" spans="43:387">
      <c r="AQ44" t="s">
        <v>1351</v>
      </c>
      <c r="AR44">
        <v>789</v>
      </c>
      <c r="AX44" t="s">
        <v>1613</v>
      </c>
      <c r="AY44">
        <v>311</v>
      </c>
      <c r="BE44" t="s">
        <v>793</v>
      </c>
      <c r="BF44">
        <v>1392</v>
      </c>
      <c r="CG44" t="s">
        <v>197</v>
      </c>
      <c r="CH44">
        <v>1550</v>
      </c>
      <c r="DP44" t="s">
        <v>473</v>
      </c>
      <c r="DQ44">
        <v>1287</v>
      </c>
      <c r="ED44" t="s">
        <v>1268</v>
      </c>
      <c r="EE44">
        <v>1248</v>
      </c>
      <c r="EY44" t="s">
        <v>1366</v>
      </c>
      <c r="EZ44">
        <v>1211</v>
      </c>
      <c r="FT44" t="s">
        <v>1293</v>
      </c>
      <c r="FU44">
        <v>1182</v>
      </c>
      <c r="GH44" t="s">
        <v>1400</v>
      </c>
      <c r="GI44">
        <v>54519</v>
      </c>
      <c r="HC44" t="s">
        <v>1475</v>
      </c>
      <c r="HD44">
        <v>1122</v>
      </c>
      <c r="HQ44" t="s">
        <v>1586</v>
      </c>
      <c r="HR44">
        <v>1070</v>
      </c>
      <c r="IZ44" t="s">
        <v>1403</v>
      </c>
      <c r="JA44">
        <v>203</v>
      </c>
      <c r="JU44" t="s">
        <v>1326</v>
      </c>
      <c r="JV44">
        <v>1697</v>
      </c>
      <c r="NV44" t="s">
        <v>199</v>
      </c>
      <c r="NW44">
        <v>881</v>
      </c>
    </row>
    <row r="45" spans="43:387">
      <c r="AQ45" t="s">
        <v>1200</v>
      </c>
      <c r="AR45">
        <v>2247</v>
      </c>
      <c r="AX45" t="s">
        <v>182</v>
      </c>
      <c r="AY45">
        <v>44</v>
      </c>
      <c r="BE45" t="s">
        <v>945</v>
      </c>
      <c r="BF45">
        <v>1399</v>
      </c>
      <c r="CG45" t="s">
        <v>198</v>
      </c>
      <c r="CH45">
        <v>1336</v>
      </c>
      <c r="DP45" t="s">
        <v>203</v>
      </c>
      <c r="DQ45">
        <v>1296</v>
      </c>
      <c r="ED45" t="s">
        <v>1339</v>
      </c>
      <c r="EE45">
        <v>1267</v>
      </c>
      <c r="EY45" t="s">
        <v>817</v>
      </c>
      <c r="EZ45">
        <v>1215</v>
      </c>
      <c r="FT45" t="s">
        <v>1373</v>
      </c>
      <c r="FU45">
        <v>1186</v>
      </c>
      <c r="HC45" t="s">
        <v>899</v>
      </c>
      <c r="HD45">
        <v>1091</v>
      </c>
      <c r="HQ45" t="s">
        <v>586</v>
      </c>
      <c r="HR45">
        <v>1073</v>
      </c>
      <c r="IZ45" t="s">
        <v>1428</v>
      </c>
      <c r="JA45">
        <v>2082</v>
      </c>
      <c r="JU45" t="s">
        <v>1517</v>
      </c>
      <c r="JV45">
        <v>998</v>
      </c>
      <c r="NV45" t="s">
        <v>257</v>
      </c>
      <c r="NW45">
        <v>910</v>
      </c>
    </row>
    <row r="46" spans="43:387">
      <c r="AQ46" t="s">
        <v>1363</v>
      </c>
      <c r="AR46">
        <v>1549</v>
      </c>
      <c r="AX46" t="s">
        <v>111</v>
      </c>
      <c r="AY46">
        <v>36</v>
      </c>
      <c r="BE46" t="s">
        <v>788</v>
      </c>
      <c r="BF46">
        <v>1375</v>
      </c>
      <c r="CG46" t="s">
        <v>1107</v>
      </c>
      <c r="CH46">
        <v>1894</v>
      </c>
      <c r="DP46" t="s">
        <v>436</v>
      </c>
      <c r="DQ46">
        <v>1283</v>
      </c>
      <c r="ED46" t="s">
        <v>1157</v>
      </c>
      <c r="EE46">
        <v>1252</v>
      </c>
      <c r="EY46" t="s">
        <v>1113</v>
      </c>
      <c r="EZ46">
        <v>1882</v>
      </c>
      <c r="FT46" t="s">
        <v>1555</v>
      </c>
      <c r="FU46">
        <v>2218</v>
      </c>
      <c r="HC46" t="s">
        <v>261</v>
      </c>
      <c r="HD46">
        <v>1089</v>
      </c>
      <c r="HQ46" t="s">
        <v>585</v>
      </c>
      <c r="HR46">
        <v>1074</v>
      </c>
      <c r="IZ46" t="s">
        <v>1429</v>
      </c>
      <c r="JA46">
        <v>1572</v>
      </c>
      <c r="JU46" t="s">
        <v>255</v>
      </c>
      <c r="JV46">
        <v>995</v>
      </c>
      <c r="NV46" t="s">
        <v>1334</v>
      </c>
      <c r="NW46">
        <v>899</v>
      </c>
    </row>
    <row r="47" spans="43:387">
      <c r="AQ47" t="s">
        <v>1314</v>
      </c>
      <c r="AR47">
        <v>1708</v>
      </c>
      <c r="AX47" t="s">
        <v>112</v>
      </c>
      <c r="AY47">
        <v>33</v>
      </c>
      <c r="BE47" t="s">
        <v>1459</v>
      </c>
      <c r="BF47">
        <v>1370</v>
      </c>
      <c r="CG47" t="s">
        <v>1482</v>
      </c>
      <c r="CH47">
        <v>1358</v>
      </c>
      <c r="DP47" t="s">
        <v>1400</v>
      </c>
      <c r="DQ47">
        <v>39710</v>
      </c>
      <c r="ED47" t="s">
        <v>575</v>
      </c>
      <c r="EE47">
        <v>1225</v>
      </c>
      <c r="EY47" t="s">
        <v>1400</v>
      </c>
      <c r="EZ47">
        <v>38644</v>
      </c>
      <c r="FT47" t="s">
        <v>870</v>
      </c>
      <c r="FU47">
        <v>1169</v>
      </c>
      <c r="HC47" t="s">
        <v>1153</v>
      </c>
      <c r="HD47">
        <v>2233</v>
      </c>
      <c r="HQ47" t="s">
        <v>1095</v>
      </c>
      <c r="HR47">
        <v>2039</v>
      </c>
      <c r="IZ47" t="s">
        <v>1341</v>
      </c>
      <c r="JA47">
        <v>197</v>
      </c>
      <c r="JU47" t="s">
        <v>1384</v>
      </c>
      <c r="JV47">
        <v>814</v>
      </c>
      <c r="NV47" t="s">
        <v>658</v>
      </c>
      <c r="NW47">
        <v>892</v>
      </c>
    </row>
    <row r="48" spans="43:387">
      <c r="AQ48" t="s">
        <v>1593</v>
      </c>
      <c r="AR48">
        <v>1462</v>
      </c>
      <c r="AX48" t="s">
        <v>1565</v>
      </c>
      <c r="AY48">
        <v>2085</v>
      </c>
      <c r="BE48" t="s">
        <v>1136</v>
      </c>
      <c r="BF48">
        <v>1397</v>
      </c>
      <c r="CG48" t="s">
        <v>271</v>
      </c>
      <c r="CH48">
        <v>1347</v>
      </c>
      <c r="ED48" t="s">
        <v>809</v>
      </c>
      <c r="EE48">
        <v>1263</v>
      </c>
      <c r="FT48" t="s">
        <v>924</v>
      </c>
      <c r="FU48">
        <v>1891</v>
      </c>
      <c r="HC48" t="s">
        <v>1287</v>
      </c>
      <c r="HD48">
        <v>1113</v>
      </c>
      <c r="HQ48" t="s">
        <v>524</v>
      </c>
      <c r="HR48">
        <v>1083</v>
      </c>
      <c r="IZ48" t="s">
        <v>145</v>
      </c>
      <c r="JA48">
        <v>48566</v>
      </c>
      <c r="JU48" t="s">
        <v>256</v>
      </c>
      <c r="JV48">
        <v>782</v>
      </c>
      <c r="NV48" t="s">
        <v>892</v>
      </c>
      <c r="NW48">
        <v>897</v>
      </c>
    </row>
    <row r="49" spans="43:387">
      <c r="AQ49" t="s">
        <v>867</v>
      </c>
      <c r="AR49">
        <v>1461</v>
      </c>
      <c r="AX49" t="s">
        <v>905</v>
      </c>
      <c r="AY49">
        <v>298</v>
      </c>
      <c r="BE49" t="s">
        <v>1465</v>
      </c>
      <c r="BF49">
        <v>1381</v>
      </c>
      <c r="CG49" t="s">
        <v>200</v>
      </c>
      <c r="CH49">
        <v>1343</v>
      </c>
      <c r="ED49" t="s">
        <v>570</v>
      </c>
      <c r="EE49">
        <v>1236</v>
      </c>
      <c r="FT49" t="s">
        <v>1554</v>
      </c>
      <c r="FU49">
        <v>2217</v>
      </c>
      <c r="HC49" t="s">
        <v>1176</v>
      </c>
      <c r="HD49">
        <v>1135</v>
      </c>
      <c r="HQ49" t="s">
        <v>1021</v>
      </c>
      <c r="HR49">
        <v>1075</v>
      </c>
      <c r="IZ49" t="s">
        <v>1396</v>
      </c>
      <c r="JA49">
        <v>1716</v>
      </c>
      <c r="JU49" t="s">
        <v>1609</v>
      </c>
      <c r="JV49">
        <v>767</v>
      </c>
      <c r="NV49" t="s">
        <v>666</v>
      </c>
      <c r="NW49">
        <v>895</v>
      </c>
    </row>
    <row r="50" spans="43:387">
      <c r="AQ50" t="s">
        <v>92</v>
      </c>
      <c r="AR50">
        <v>1501</v>
      </c>
      <c r="AX50" t="s">
        <v>116</v>
      </c>
      <c r="AY50">
        <v>37</v>
      </c>
      <c r="BE50" t="s">
        <v>1463</v>
      </c>
      <c r="BF50">
        <v>1378</v>
      </c>
      <c r="CG50" t="s">
        <v>1099</v>
      </c>
      <c r="CH50">
        <v>1895</v>
      </c>
      <c r="ED50" t="s">
        <v>1536</v>
      </c>
      <c r="EE50">
        <v>2239</v>
      </c>
      <c r="FT50" t="s">
        <v>922</v>
      </c>
      <c r="FU50">
        <v>1893</v>
      </c>
      <c r="HC50" t="s">
        <v>1175</v>
      </c>
      <c r="HD50">
        <v>1125</v>
      </c>
      <c r="HQ50" t="s">
        <v>1400</v>
      </c>
      <c r="HR50">
        <v>44098</v>
      </c>
      <c r="IZ50" t="s">
        <v>1343</v>
      </c>
      <c r="JA50">
        <v>1037</v>
      </c>
      <c r="JU50" t="s">
        <v>1029</v>
      </c>
      <c r="JV50">
        <v>1887</v>
      </c>
      <c r="NV50" t="s">
        <v>659</v>
      </c>
      <c r="NW50">
        <v>879</v>
      </c>
    </row>
    <row r="51" spans="43:387">
      <c r="AQ51" t="s">
        <v>533</v>
      </c>
      <c r="AR51">
        <v>852</v>
      </c>
      <c r="AX51" t="s">
        <v>138</v>
      </c>
      <c r="AY51">
        <v>1753</v>
      </c>
      <c r="BE51" t="s">
        <v>498</v>
      </c>
      <c r="BF51">
        <v>1380</v>
      </c>
      <c r="CG51" t="s">
        <v>210</v>
      </c>
      <c r="CH51">
        <v>1354</v>
      </c>
      <c r="ED51" t="s">
        <v>832</v>
      </c>
      <c r="EE51">
        <v>1237</v>
      </c>
      <c r="FT51" t="s">
        <v>614</v>
      </c>
      <c r="FU51">
        <v>1181</v>
      </c>
      <c r="HC51" t="s">
        <v>1399</v>
      </c>
      <c r="HD51">
        <v>1121</v>
      </c>
      <c r="IZ51" t="s">
        <v>250</v>
      </c>
      <c r="JA51">
        <v>1035</v>
      </c>
      <c r="JU51" t="s">
        <v>831</v>
      </c>
      <c r="JV51">
        <v>990</v>
      </c>
      <c r="NV51" t="s">
        <v>258</v>
      </c>
      <c r="NW51">
        <v>909</v>
      </c>
    </row>
    <row r="52" spans="43:387">
      <c r="AQ52" t="s">
        <v>1350</v>
      </c>
      <c r="AR52">
        <v>784</v>
      </c>
      <c r="AX52" t="s">
        <v>128</v>
      </c>
      <c r="AY52">
        <v>1761</v>
      </c>
      <c r="BE52" t="s">
        <v>1466</v>
      </c>
      <c r="BF52">
        <v>1377</v>
      </c>
      <c r="CG52" t="s">
        <v>201</v>
      </c>
      <c r="CH52">
        <v>1349</v>
      </c>
      <c r="ED52" t="s">
        <v>694</v>
      </c>
      <c r="EE52">
        <v>1260</v>
      </c>
      <c r="FT52" t="s">
        <v>613</v>
      </c>
      <c r="FU52">
        <v>1165</v>
      </c>
      <c r="HC52" t="s">
        <v>1291</v>
      </c>
      <c r="HD52">
        <v>1136</v>
      </c>
      <c r="IZ52" t="s">
        <v>1430</v>
      </c>
      <c r="JA52">
        <v>2226</v>
      </c>
      <c r="JU52" t="s">
        <v>1016</v>
      </c>
      <c r="JV52">
        <v>1704</v>
      </c>
      <c r="NV52" t="s">
        <v>660</v>
      </c>
      <c r="NW52">
        <v>887</v>
      </c>
    </row>
    <row r="53" spans="43:387">
      <c r="AQ53" t="s">
        <v>288</v>
      </c>
      <c r="AR53">
        <v>853</v>
      </c>
      <c r="AX53" t="s">
        <v>1035</v>
      </c>
      <c r="AY53">
        <v>1754</v>
      </c>
      <c r="BE53" t="s">
        <v>1134</v>
      </c>
      <c r="BF53">
        <v>1379</v>
      </c>
      <c r="CG53" t="s">
        <v>1108</v>
      </c>
      <c r="CH53">
        <v>2220</v>
      </c>
      <c r="ED53" t="s">
        <v>574</v>
      </c>
      <c r="EE53">
        <v>1226</v>
      </c>
      <c r="FT53" t="s">
        <v>245</v>
      </c>
      <c r="FU53">
        <v>1177</v>
      </c>
      <c r="HC53" t="s">
        <v>540</v>
      </c>
      <c r="HD53">
        <v>1112</v>
      </c>
      <c r="IZ53" t="s">
        <v>424</v>
      </c>
      <c r="JA53">
        <v>1034</v>
      </c>
      <c r="JU53" t="s">
        <v>1521</v>
      </c>
      <c r="JV53">
        <v>821</v>
      </c>
      <c r="NV53" t="s">
        <v>668</v>
      </c>
      <c r="NW53">
        <v>891</v>
      </c>
    </row>
    <row r="54" spans="43:387">
      <c r="AQ54" t="s">
        <v>725</v>
      </c>
      <c r="AR54">
        <v>1456</v>
      </c>
      <c r="AX54" t="s">
        <v>1209</v>
      </c>
      <c r="AY54">
        <v>45</v>
      </c>
      <c r="BE54" t="s">
        <v>1131</v>
      </c>
      <c r="BF54">
        <v>1386</v>
      </c>
      <c r="CG54" t="s">
        <v>1103</v>
      </c>
      <c r="CH54">
        <v>1725</v>
      </c>
      <c r="ED54" t="s">
        <v>1164</v>
      </c>
      <c r="EE54">
        <v>1230</v>
      </c>
      <c r="FT54" t="s">
        <v>140</v>
      </c>
      <c r="FU54">
        <v>1171</v>
      </c>
      <c r="HC54" t="s">
        <v>262</v>
      </c>
      <c r="HD54">
        <v>1117</v>
      </c>
      <c r="IZ54" t="s">
        <v>447</v>
      </c>
      <c r="JA54">
        <v>1718</v>
      </c>
      <c r="JU54" t="s">
        <v>1520</v>
      </c>
      <c r="JV54">
        <v>849</v>
      </c>
      <c r="NV54" t="s">
        <v>663</v>
      </c>
      <c r="NW54">
        <v>896</v>
      </c>
    </row>
    <row r="55" spans="43:387">
      <c r="AQ55" t="s">
        <v>1313</v>
      </c>
      <c r="AR55">
        <v>826</v>
      </c>
      <c r="AX55" t="s">
        <v>1563</v>
      </c>
      <c r="AY55">
        <v>2058</v>
      </c>
      <c r="BE55" t="s">
        <v>827</v>
      </c>
      <c r="BF55">
        <v>1393</v>
      </c>
      <c r="CG55" t="s">
        <v>202</v>
      </c>
      <c r="CH55">
        <v>1346</v>
      </c>
      <c r="ED55" t="s">
        <v>457</v>
      </c>
      <c r="EE55">
        <v>1228</v>
      </c>
      <c r="FT55" t="s">
        <v>1010</v>
      </c>
      <c r="FU55">
        <v>1170</v>
      </c>
      <c r="HC55" t="s">
        <v>263</v>
      </c>
      <c r="HD55">
        <v>1105</v>
      </c>
      <c r="IZ55" t="s">
        <v>1118</v>
      </c>
      <c r="JA55">
        <v>1038</v>
      </c>
      <c r="JU55" t="s">
        <v>1610</v>
      </c>
      <c r="JV55">
        <v>780</v>
      </c>
      <c r="NV55" t="s">
        <v>259</v>
      </c>
      <c r="NW55">
        <v>903</v>
      </c>
    </row>
    <row r="56" spans="43:387">
      <c r="AQ56" t="s">
        <v>1082</v>
      </c>
      <c r="AR56">
        <v>1706</v>
      </c>
      <c r="AX56" t="s">
        <v>976</v>
      </c>
      <c r="AY56">
        <v>2059</v>
      </c>
      <c r="BE56" t="s">
        <v>204</v>
      </c>
      <c r="BF56">
        <v>1374</v>
      </c>
      <c r="CG56" t="s">
        <v>301</v>
      </c>
      <c r="CH56">
        <v>1348</v>
      </c>
      <c r="ED56" t="s">
        <v>1537</v>
      </c>
      <c r="EE56">
        <v>1268</v>
      </c>
      <c r="FT56" t="s">
        <v>141</v>
      </c>
      <c r="FU56">
        <v>1167</v>
      </c>
      <c r="HC56" t="s">
        <v>1288</v>
      </c>
      <c r="HD56">
        <v>1096</v>
      </c>
      <c r="IZ56" t="s">
        <v>1431</v>
      </c>
      <c r="JA56">
        <v>2231</v>
      </c>
      <c r="JU56" t="s">
        <v>1519</v>
      </c>
      <c r="JV56">
        <v>996</v>
      </c>
      <c r="NV56" t="s">
        <v>120</v>
      </c>
      <c r="NW56">
        <v>901</v>
      </c>
    </row>
    <row r="57" spans="43:387">
      <c r="AQ57" t="s">
        <v>1026</v>
      </c>
      <c r="AR57">
        <v>1459</v>
      </c>
      <c r="AX57" t="s">
        <v>1211</v>
      </c>
      <c r="AY57">
        <v>2096</v>
      </c>
      <c r="BE57" t="s">
        <v>947</v>
      </c>
      <c r="BF57">
        <v>1396</v>
      </c>
      <c r="CG57" t="s">
        <v>1034</v>
      </c>
      <c r="CH57">
        <v>1359</v>
      </c>
      <c r="ED57" t="s">
        <v>808</v>
      </c>
      <c r="EE57">
        <v>1239</v>
      </c>
      <c r="FT57" t="s">
        <v>1551</v>
      </c>
      <c r="FU57">
        <v>1168</v>
      </c>
      <c r="HC57" t="s">
        <v>469</v>
      </c>
      <c r="HD57">
        <v>1115</v>
      </c>
      <c r="IZ57" t="s">
        <v>1028</v>
      </c>
      <c r="JA57">
        <v>1879</v>
      </c>
      <c r="JU57" t="s">
        <v>1516</v>
      </c>
      <c r="JV57">
        <v>992</v>
      </c>
      <c r="NV57" t="s">
        <v>799</v>
      </c>
      <c r="NW57">
        <v>905</v>
      </c>
    </row>
    <row r="58" spans="43:387">
      <c r="AQ58" t="s">
        <v>763</v>
      </c>
      <c r="AR58">
        <v>1488</v>
      </c>
      <c r="AX58" t="s">
        <v>240</v>
      </c>
      <c r="AY58">
        <v>1764</v>
      </c>
      <c r="BE58" t="s">
        <v>1132</v>
      </c>
      <c r="BF58">
        <v>1371</v>
      </c>
      <c r="CG58" t="s">
        <v>417</v>
      </c>
      <c r="CH58">
        <v>1356</v>
      </c>
      <c r="ED58" t="s">
        <v>1534</v>
      </c>
      <c r="EE58">
        <v>1243</v>
      </c>
      <c r="FT58" t="s">
        <v>550</v>
      </c>
      <c r="FU58">
        <v>1892</v>
      </c>
      <c r="HC58" t="s">
        <v>1473</v>
      </c>
      <c r="HD58">
        <v>1123</v>
      </c>
      <c r="IZ58" t="s">
        <v>1432</v>
      </c>
      <c r="JA58">
        <v>1720</v>
      </c>
      <c r="JU58" t="s">
        <v>969</v>
      </c>
      <c r="JV58">
        <v>1701</v>
      </c>
      <c r="NV58" t="s">
        <v>664</v>
      </c>
      <c r="NW58">
        <v>884</v>
      </c>
    </row>
    <row r="59" spans="43:387">
      <c r="AQ59" t="s">
        <v>132</v>
      </c>
      <c r="AR59">
        <v>1477</v>
      </c>
      <c r="AX59" t="s">
        <v>117</v>
      </c>
      <c r="AY59">
        <v>38</v>
      </c>
      <c r="BE59" t="s">
        <v>1128</v>
      </c>
      <c r="BF59">
        <v>2241</v>
      </c>
      <c r="CG59" t="s">
        <v>1483</v>
      </c>
      <c r="CH59">
        <v>2219</v>
      </c>
      <c r="ED59" t="s">
        <v>1155</v>
      </c>
      <c r="EE59">
        <v>1259</v>
      </c>
      <c r="FT59" t="s">
        <v>1123</v>
      </c>
      <c r="FU59">
        <v>1176</v>
      </c>
      <c r="HC59" t="s">
        <v>878</v>
      </c>
      <c r="HD59">
        <v>1109</v>
      </c>
      <c r="IZ59" t="s">
        <v>446</v>
      </c>
      <c r="JA59">
        <v>2228</v>
      </c>
      <c r="JU59" t="s">
        <v>998</v>
      </c>
      <c r="JV59">
        <v>807</v>
      </c>
      <c r="NV59" t="s">
        <v>665</v>
      </c>
      <c r="NW59">
        <v>876</v>
      </c>
    </row>
    <row r="60" spans="43:387">
      <c r="AQ60" t="s">
        <v>1027</v>
      </c>
      <c r="AR60">
        <v>2248</v>
      </c>
      <c r="AX60" t="s">
        <v>1275</v>
      </c>
      <c r="AY60">
        <v>53</v>
      </c>
      <c r="BE60" t="s">
        <v>829</v>
      </c>
      <c r="BF60">
        <v>2242</v>
      </c>
      <c r="CG60" t="s">
        <v>1400</v>
      </c>
      <c r="CH60">
        <v>61745</v>
      </c>
      <c r="ED60" t="s">
        <v>734</v>
      </c>
      <c r="EE60">
        <v>1229</v>
      </c>
      <c r="FT60" t="s">
        <v>427</v>
      </c>
      <c r="FU60">
        <v>1187</v>
      </c>
      <c r="HC60" t="s">
        <v>264</v>
      </c>
      <c r="HD60">
        <v>1098</v>
      </c>
      <c r="IZ60" t="s">
        <v>1344</v>
      </c>
      <c r="JA60">
        <v>820</v>
      </c>
      <c r="JU60" t="s">
        <v>950</v>
      </c>
      <c r="JV60">
        <v>1714</v>
      </c>
      <c r="NV60" t="s">
        <v>762</v>
      </c>
      <c r="NW60">
        <v>908</v>
      </c>
    </row>
    <row r="61" spans="43:387">
      <c r="AQ61" t="s">
        <v>235</v>
      </c>
      <c r="AR61">
        <v>1499</v>
      </c>
      <c r="AX61" t="s">
        <v>1048</v>
      </c>
      <c r="AY61">
        <v>46</v>
      </c>
      <c r="BE61" t="s">
        <v>792</v>
      </c>
      <c r="BF61">
        <v>1395</v>
      </c>
      <c r="ED61" t="s">
        <v>1044</v>
      </c>
      <c r="EE61">
        <v>1265</v>
      </c>
      <c r="FT61" t="s">
        <v>1550</v>
      </c>
      <c r="FU61">
        <v>1166</v>
      </c>
      <c r="HC61" t="s">
        <v>876</v>
      </c>
      <c r="HD61">
        <v>1103</v>
      </c>
      <c r="IZ61" t="s">
        <v>1243</v>
      </c>
      <c r="JA61">
        <v>1719</v>
      </c>
      <c r="JU61" t="s">
        <v>887</v>
      </c>
      <c r="JV61">
        <v>1713</v>
      </c>
      <c r="NV61" t="s">
        <v>761</v>
      </c>
      <c r="NW61">
        <v>893</v>
      </c>
    </row>
    <row r="62" spans="43:387">
      <c r="AQ62" t="s">
        <v>1321</v>
      </c>
      <c r="AR62">
        <v>1492</v>
      </c>
      <c r="AX62" t="s">
        <v>1036</v>
      </c>
      <c r="AY62">
        <v>1756</v>
      </c>
      <c r="BE62" t="s">
        <v>623</v>
      </c>
      <c r="BF62">
        <v>1373</v>
      </c>
      <c r="ED62" t="s">
        <v>232</v>
      </c>
      <c r="EE62">
        <v>1254</v>
      </c>
      <c r="FT62" t="s">
        <v>1400</v>
      </c>
      <c r="FU62">
        <v>64527</v>
      </c>
      <c r="HC62" t="s">
        <v>1330</v>
      </c>
      <c r="HD62">
        <v>1102</v>
      </c>
      <c r="IZ62" t="s">
        <v>802</v>
      </c>
      <c r="JA62">
        <v>1033</v>
      </c>
      <c r="JU62" t="s">
        <v>1356</v>
      </c>
      <c r="JV62">
        <v>988</v>
      </c>
      <c r="NV62" t="s">
        <v>1400</v>
      </c>
      <c r="NW62">
        <v>40319</v>
      </c>
    </row>
    <row r="63" spans="43:387">
      <c r="AQ63" t="s">
        <v>1594</v>
      </c>
      <c r="AR63">
        <v>1493</v>
      </c>
      <c r="AX63" t="s">
        <v>1562</v>
      </c>
      <c r="AY63">
        <v>1905</v>
      </c>
      <c r="BE63" t="s">
        <v>1400</v>
      </c>
      <c r="BF63">
        <v>59355</v>
      </c>
      <c r="ED63" t="s">
        <v>1267</v>
      </c>
      <c r="EE63">
        <v>1232</v>
      </c>
      <c r="HC63" t="s">
        <v>1474</v>
      </c>
      <c r="HD63">
        <v>871</v>
      </c>
      <c r="IZ63" t="s">
        <v>1433</v>
      </c>
      <c r="JA63">
        <v>787</v>
      </c>
      <c r="JU63" t="s">
        <v>496</v>
      </c>
      <c r="JV63">
        <v>999</v>
      </c>
    </row>
    <row r="64" spans="43:387">
      <c r="AQ64" t="s">
        <v>588</v>
      </c>
      <c r="AR64">
        <v>1500</v>
      </c>
      <c r="AX64" t="s">
        <v>1207</v>
      </c>
      <c r="AY64">
        <v>2061</v>
      </c>
      <c r="ED64" t="s">
        <v>634</v>
      </c>
      <c r="EE64">
        <v>1269</v>
      </c>
      <c r="HC64" t="s">
        <v>1290</v>
      </c>
      <c r="HD64">
        <v>1094</v>
      </c>
      <c r="IZ64" t="s">
        <v>412</v>
      </c>
      <c r="JA64">
        <v>1717</v>
      </c>
      <c r="JU64" t="s">
        <v>1379</v>
      </c>
      <c r="JV64">
        <v>786</v>
      </c>
    </row>
    <row r="65" spans="43:282">
      <c r="AQ65" t="s">
        <v>1322</v>
      </c>
      <c r="AR65">
        <v>1745</v>
      </c>
      <c r="AX65" t="s">
        <v>160</v>
      </c>
      <c r="AY65">
        <v>58</v>
      </c>
      <c r="ED65" t="s">
        <v>1162</v>
      </c>
      <c r="EE65">
        <v>1231</v>
      </c>
      <c r="HC65" t="s">
        <v>265</v>
      </c>
      <c r="HD65">
        <v>1106</v>
      </c>
      <c r="IZ65" t="s">
        <v>855</v>
      </c>
      <c r="JA65">
        <v>1721</v>
      </c>
      <c r="JU65" t="s">
        <v>1327</v>
      </c>
      <c r="JV65">
        <v>1703</v>
      </c>
    </row>
    <row r="66" spans="43:282">
      <c r="AQ66" t="s">
        <v>804</v>
      </c>
      <c r="AR66">
        <v>1479</v>
      </c>
      <c r="AX66" t="s">
        <v>1065</v>
      </c>
      <c r="AY66">
        <v>1903</v>
      </c>
      <c r="ED66" t="s">
        <v>426</v>
      </c>
      <c r="EE66">
        <v>1244</v>
      </c>
      <c r="HC66" t="s">
        <v>527</v>
      </c>
      <c r="HD66">
        <v>1097</v>
      </c>
      <c r="IZ66" t="s">
        <v>1244</v>
      </c>
      <c r="JA66">
        <v>1036</v>
      </c>
      <c r="JU66" t="s">
        <v>1515</v>
      </c>
      <c r="JV66">
        <v>993</v>
      </c>
    </row>
    <row r="67" spans="43:282">
      <c r="AQ67" t="s">
        <v>303</v>
      </c>
      <c r="AR67">
        <v>854</v>
      </c>
      <c r="AX67" t="s">
        <v>129</v>
      </c>
      <c r="AY67">
        <v>1760</v>
      </c>
      <c r="ED67" t="s">
        <v>765</v>
      </c>
      <c r="EE67">
        <v>1250</v>
      </c>
      <c r="HC67" t="s">
        <v>1471</v>
      </c>
      <c r="HD67">
        <v>1129</v>
      </c>
      <c r="IZ67" t="s">
        <v>1283</v>
      </c>
      <c r="JA67">
        <v>1039</v>
      </c>
      <c r="JU67" t="s">
        <v>1522</v>
      </c>
      <c r="JV67">
        <v>781</v>
      </c>
    </row>
    <row r="68" spans="43:282">
      <c r="AQ68" t="s">
        <v>1335</v>
      </c>
      <c r="AR68">
        <v>1471</v>
      </c>
      <c r="AX68" t="s">
        <v>755</v>
      </c>
      <c r="AY68">
        <v>1558</v>
      </c>
      <c r="ED68" t="s">
        <v>1165</v>
      </c>
      <c r="EE68">
        <v>2238</v>
      </c>
      <c r="HC68" t="s">
        <v>1174</v>
      </c>
      <c r="HD68">
        <v>1108</v>
      </c>
      <c r="IZ68" t="s">
        <v>1253</v>
      </c>
      <c r="JA68">
        <v>2229</v>
      </c>
      <c r="JU68" t="s">
        <v>1400</v>
      </c>
      <c r="JV68">
        <v>64378</v>
      </c>
    </row>
    <row r="69" spans="43:282">
      <c r="AQ69" t="s">
        <v>416</v>
      </c>
      <c r="AR69">
        <v>1748</v>
      </c>
      <c r="AX69" t="s">
        <v>1012</v>
      </c>
      <c r="AY69">
        <v>1759</v>
      </c>
      <c r="ED69" t="s">
        <v>419</v>
      </c>
      <c r="EE69">
        <v>1241</v>
      </c>
      <c r="HC69" t="s">
        <v>266</v>
      </c>
      <c r="HD69">
        <v>1120</v>
      </c>
      <c r="IZ69" t="s">
        <v>1375</v>
      </c>
      <c r="JA69">
        <v>2033</v>
      </c>
    </row>
    <row r="70" spans="43:282">
      <c r="AQ70" t="s">
        <v>801</v>
      </c>
      <c r="AR70">
        <v>1458</v>
      </c>
      <c r="AX70" t="s">
        <v>1336</v>
      </c>
      <c r="AY70">
        <v>40</v>
      </c>
      <c r="ED70" t="s">
        <v>955</v>
      </c>
      <c r="EE70">
        <v>1233</v>
      </c>
      <c r="HC70" t="s">
        <v>142</v>
      </c>
      <c r="HD70">
        <v>1128</v>
      </c>
      <c r="IZ70" t="s">
        <v>1434</v>
      </c>
      <c r="JA70">
        <v>2227</v>
      </c>
    </row>
    <row r="71" spans="43:282">
      <c r="AQ71" t="s">
        <v>214</v>
      </c>
      <c r="AR71">
        <v>1453</v>
      </c>
      <c r="AX71" t="s">
        <v>307</v>
      </c>
      <c r="AY71">
        <v>51</v>
      </c>
      <c r="ED71" t="s">
        <v>1156</v>
      </c>
      <c r="EE71">
        <v>1234</v>
      </c>
      <c r="HC71" t="s">
        <v>267</v>
      </c>
      <c r="HD71">
        <v>1107</v>
      </c>
      <c r="IZ71" t="s">
        <v>1397</v>
      </c>
      <c r="JA71">
        <v>2034</v>
      </c>
    </row>
    <row r="72" spans="43:282">
      <c r="AQ72" t="s">
        <v>1197</v>
      </c>
      <c r="AR72">
        <v>1490</v>
      </c>
      <c r="AX72" t="s">
        <v>1568</v>
      </c>
      <c r="AY72">
        <v>2097</v>
      </c>
      <c r="ED72" t="s">
        <v>1077</v>
      </c>
      <c r="EE72">
        <v>1251</v>
      </c>
      <c r="HC72" t="s">
        <v>471</v>
      </c>
      <c r="HD72">
        <v>1101</v>
      </c>
      <c r="IZ72" t="s">
        <v>1140</v>
      </c>
      <c r="JA72">
        <v>2230</v>
      </c>
    </row>
    <row r="73" spans="43:282">
      <c r="AQ73" t="s">
        <v>798</v>
      </c>
      <c r="AR73">
        <v>1457</v>
      </c>
      <c r="AX73" t="s">
        <v>592</v>
      </c>
      <c r="AY73">
        <v>1765</v>
      </c>
      <c r="ED73" t="s">
        <v>1030</v>
      </c>
      <c r="EE73">
        <v>1256</v>
      </c>
      <c r="HC73" t="s">
        <v>609</v>
      </c>
      <c r="HD73">
        <v>1137</v>
      </c>
      <c r="IZ73" t="s">
        <v>633</v>
      </c>
      <c r="JA73">
        <v>1032</v>
      </c>
    </row>
    <row r="74" spans="43:282">
      <c r="AQ74" t="s">
        <v>724</v>
      </c>
      <c r="AR74">
        <v>1746</v>
      </c>
      <c r="AX74" t="s">
        <v>593</v>
      </c>
      <c r="AY74">
        <v>59</v>
      </c>
      <c r="ED74" t="s">
        <v>579</v>
      </c>
      <c r="EE74">
        <v>1271</v>
      </c>
      <c r="HC74" t="s">
        <v>608</v>
      </c>
      <c r="HD74">
        <v>1134</v>
      </c>
      <c r="IZ74" t="s">
        <v>750</v>
      </c>
      <c r="JA74">
        <v>1031</v>
      </c>
    </row>
    <row r="75" spans="43:282">
      <c r="AQ75" t="s">
        <v>565</v>
      </c>
      <c r="AR75">
        <v>1747</v>
      </c>
      <c r="AX75" t="s">
        <v>1567</v>
      </c>
      <c r="AY75">
        <v>1779</v>
      </c>
      <c r="ED75" t="s">
        <v>536</v>
      </c>
      <c r="EE75">
        <v>1264</v>
      </c>
      <c r="HC75" t="s">
        <v>560</v>
      </c>
      <c r="HD75">
        <v>1099</v>
      </c>
      <c r="IZ75" t="s">
        <v>1435</v>
      </c>
      <c r="JA75">
        <v>2038</v>
      </c>
    </row>
    <row r="76" spans="43:282">
      <c r="AQ76" t="s">
        <v>1201</v>
      </c>
      <c r="AR76">
        <v>2246</v>
      </c>
      <c r="AX76" t="s">
        <v>145</v>
      </c>
      <c r="AY76">
        <v>146125</v>
      </c>
      <c r="ED76" t="s">
        <v>1160</v>
      </c>
      <c r="EE76">
        <v>1262</v>
      </c>
      <c r="HC76" t="s">
        <v>1400</v>
      </c>
      <c r="HD76">
        <v>62219</v>
      </c>
      <c r="IZ76" t="s">
        <v>1436</v>
      </c>
      <c r="JA76">
        <v>1030</v>
      </c>
    </row>
    <row r="77" spans="43:282">
      <c r="AQ77" t="s">
        <v>984</v>
      </c>
      <c r="AR77">
        <v>1465</v>
      </c>
      <c r="AX77" t="s">
        <v>1013</v>
      </c>
      <c r="AY77">
        <v>2245</v>
      </c>
      <c r="ED77" t="s">
        <v>1055</v>
      </c>
      <c r="EE77">
        <v>1249</v>
      </c>
      <c r="IZ77" t="s">
        <v>1437</v>
      </c>
      <c r="JA77">
        <v>2221</v>
      </c>
    </row>
    <row r="78" spans="43:282">
      <c r="AQ78" t="s">
        <v>637</v>
      </c>
      <c r="AR78">
        <v>1481</v>
      </c>
      <c r="AX78" t="s">
        <v>459</v>
      </c>
      <c r="AY78">
        <v>1404</v>
      </c>
      <c r="ED78" t="s">
        <v>1159</v>
      </c>
      <c r="EE78">
        <v>1261</v>
      </c>
      <c r="IZ78" t="s">
        <v>468</v>
      </c>
      <c r="JA78">
        <v>1029</v>
      </c>
    </row>
    <row r="79" spans="43:282">
      <c r="AQ79" t="s">
        <v>174</v>
      </c>
      <c r="AR79">
        <v>1454</v>
      </c>
      <c r="AX79" t="s">
        <v>1218</v>
      </c>
      <c r="AY79">
        <v>1705</v>
      </c>
      <c r="ED79" t="s">
        <v>425</v>
      </c>
      <c r="EE79">
        <v>1257</v>
      </c>
      <c r="IZ79" t="s">
        <v>1318</v>
      </c>
      <c r="JA79">
        <v>1698</v>
      </c>
    </row>
    <row r="80" spans="43:282">
      <c r="AQ80" t="s">
        <v>1311</v>
      </c>
      <c r="AR80">
        <v>1749</v>
      </c>
      <c r="AX80" t="s">
        <v>1574</v>
      </c>
      <c r="AY80">
        <v>1442</v>
      </c>
      <c r="ED80" t="s">
        <v>1400</v>
      </c>
      <c r="EE80">
        <v>75042</v>
      </c>
      <c r="IZ80" t="s">
        <v>1400</v>
      </c>
      <c r="JA80">
        <v>94604</v>
      </c>
    </row>
    <row r="81" spans="43:51">
      <c r="AQ81" t="s">
        <v>937</v>
      </c>
      <c r="AR81">
        <v>1496</v>
      </c>
      <c r="AX81" t="s">
        <v>1614</v>
      </c>
      <c r="AY81">
        <v>776</v>
      </c>
    </row>
    <row r="82" spans="43:51">
      <c r="AQ82" t="s">
        <v>730</v>
      </c>
      <c r="AR82">
        <v>1498</v>
      </c>
      <c r="AX82" t="s">
        <v>405</v>
      </c>
      <c r="AY82">
        <v>1409</v>
      </c>
    </row>
    <row r="83" spans="43:51">
      <c r="AQ83" t="s">
        <v>503</v>
      </c>
      <c r="AR83">
        <v>1467</v>
      </c>
      <c r="AX83" t="s">
        <v>909</v>
      </c>
      <c r="AY83">
        <v>1439</v>
      </c>
    </row>
    <row r="84" spans="43:51">
      <c r="AQ84" t="s">
        <v>1595</v>
      </c>
      <c r="AR84">
        <v>1460</v>
      </c>
      <c r="AX84" t="s">
        <v>1615</v>
      </c>
      <c r="AY84">
        <v>778</v>
      </c>
    </row>
    <row r="85" spans="43:51">
      <c r="AQ85" t="s">
        <v>1194</v>
      </c>
      <c r="AR85">
        <v>1469</v>
      </c>
      <c r="AX85" t="s">
        <v>908</v>
      </c>
      <c r="AY85">
        <v>1899</v>
      </c>
    </row>
    <row r="86" spans="43:51">
      <c r="AQ86" t="s">
        <v>561</v>
      </c>
      <c r="AR86">
        <v>1455</v>
      </c>
      <c r="AX86" t="s">
        <v>1616</v>
      </c>
      <c r="AY86">
        <v>779</v>
      </c>
    </row>
    <row r="87" spans="43:51">
      <c r="AQ87" t="s">
        <v>1596</v>
      </c>
      <c r="AR87">
        <v>1484</v>
      </c>
      <c r="AX87" t="s">
        <v>135</v>
      </c>
      <c r="AY87">
        <v>1739</v>
      </c>
    </row>
    <row r="88" spans="43:51">
      <c r="AQ88" t="s">
        <v>1198</v>
      </c>
      <c r="AR88">
        <v>857</v>
      </c>
      <c r="AX88" t="s">
        <v>564</v>
      </c>
      <c r="AY88">
        <v>1401</v>
      </c>
    </row>
    <row r="89" spans="43:51">
      <c r="AQ89" t="s">
        <v>729</v>
      </c>
      <c r="AR89">
        <v>860</v>
      </c>
      <c r="AX89" t="s">
        <v>136</v>
      </c>
      <c r="AY89">
        <v>1402</v>
      </c>
    </row>
    <row r="90" spans="43:51">
      <c r="AQ90" t="s">
        <v>590</v>
      </c>
      <c r="AR90">
        <v>859</v>
      </c>
      <c r="AX90" t="s">
        <v>453</v>
      </c>
      <c r="AY90">
        <v>1440</v>
      </c>
    </row>
    <row r="91" spans="43:51">
      <c r="AQ91" t="s">
        <v>728</v>
      </c>
      <c r="AR91">
        <v>1699</v>
      </c>
      <c r="AX91" t="s">
        <v>1395</v>
      </c>
      <c r="AY91">
        <v>2047</v>
      </c>
    </row>
    <row r="92" spans="43:51">
      <c r="AQ92" t="s">
        <v>418</v>
      </c>
      <c r="AR92">
        <v>1474</v>
      </c>
      <c r="AX92" t="s">
        <v>1032</v>
      </c>
      <c r="AY92">
        <v>2244</v>
      </c>
    </row>
    <row r="93" spans="43:51">
      <c r="AQ93" t="s">
        <v>1272</v>
      </c>
      <c r="AR93">
        <v>1744</v>
      </c>
      <c r="AX93" t="s">
        <v>841</v>
      </c>
      <c r="AY93">
        <v>1415</v>
      </c>
    </row>
    <row r="94" spans="43:51">
      <c r="AQ94" t="s">
        <v>534</v>
      </c>
      <c r="AR94">
        <v>1480</v>
      </c>
      <c r="AX94" t="s">
        <v>107</v>
      </c>
      <c r="AY94">
        <v>1431</v>
      </c>
    </row>
    <row r="95" spans="43:51">
      <c r="AQ95" t="s">
        <v>1362</v>
      </c>
      <c r="AR95">
        <v>1495</v>
      </c>
      <c r="AX95" t="s">
        <v>1219</v>
      </c>
      <c r="AY95">
        <v>1437</v>
      </c>
    </row>
    <row r="96" spans="43:51">
      <c r="AQ96" t="s">
        <v>1081</v>
      </c>
      <c r="AR96">
        <v>2036</v>
      </c>
      <c r="AX96" t="s">
        <v>108</v>
      </c>
      <c r="AY96">
        <v>1434</v>
      </c>
    </row>
    <row r="97" spans="43:51">
      <c r="AQ97" t="s">
        <v>853</v>
      </c>
      <c r="AR97">
        <v>2250</v>
      </c>
      <c r="AX97" t="s">
        <v>1577</v>
      </c>
      <c r="AY97">
        <v>1581</v>
      </c>
    </row>
    <row r="98" spans="43:51">
      <c r="AQ98" t="s">
        <v>1352</v>
      </c>
      <c r="AR98">
        <v>1489</v>
      </c>
      <c r="AX98" t="s">
        <v>756</v>
      </c>
      <c r="AY98">
        <v>1741</v>
      </c>
    </row>
    <row r="99" spans="43:51">
      <c r="AQ99" t="s">
        <v>811</v>
      </c>
      <c r="AR99">
        <v>1463</v>
      </c>
      <c r="AX99" t="s">
        <v>556</v>
      </c>
      <c r="AY99">
        <v>1407</v>
      </c>
    </row>
    <row r="100" spans="43:51">
      <c r="AQ100" t="s">
        <v>1597</v>
      </c>
      <c r="AR100">
        <v>1497</v>
      </c>
      <c r="AX100" t="s">
        <v>1580</v>
      </c>
      <c r="AY100">
        <v>2215</v>
      </c>
    </row>
    <row r="101" spans="43:51">
      <c r="AQ101" t="s">
        <v>244</v>
      </c>
      <c r="AR101">
        <v>1473</v>
      </c>
      <c r="AX101" t="s">
        <v>512</v>
      </c>
      <c r="AY101">
        <v>1405</v>
      </c>
    </row>
    <row r="102" spans="43:51">
      <c r="AQ102" t="s">
        <v>1273</v>
      </c>
      <c r="AR102">
        <v>1707</v>
      </c>
      <c r="AX102" t="s">
        <v>1214</v>
      </c>
      <c r="AY102">
        <v>2046</v>
      </c>
    </row>
    <row r="103" spans="43:51">
      <c r="AQ103" t="s">
        <v>1196</v>
      </c>
      <c r="AR103">
        <v>818</v>
      </c>
      <c r="AX103" t="s">
        <v>454</v>
      </c>
      <c r="AY103">
        <v>1740</v>
      </c>
    </row>
    <row r="104" spans="43:51">
      <c r="AQ104" t="s">
        <v>1598</v>
      </c>
      <c r="AR104">
        <v>1466</v>
      </c>
      <c r="AX104" t="s">
        <v>1007</v>
      </c>
      <c r="AY104">
        <v>1429</v>
      </c>
    </row>
    <row r="105" spans="43:51">
      <c r="AQ105" t="s">
        <v>291</v>
      </c>
      <c r="AR105">
        <v>1476</v>
      </c>
      <c r="AX105" t="s">
        <v>194</v>
      </c>
      <c r="AY105">
        <v>1408</v>
      </c>
    </row>
    <row r="106" spans="43:51">
      <c r="AQ106" t="s">
        <v>1599</v>
      </c>
      <c r="AR106">
        <v>1487</v>
      </c>
      <c r="AX106" t="s">
        <v>1338</v>
      </c>
      <c r="AY106">
        <v>1443</v>
      </c>
    </row>
    <row r="107" spans="43:51">
      <c r="AQ107" t="s">
        <v>852</v>
      </c>
      <c r="AR107">
        <v>819</v>
      </c>
      <c r="AX107" t="s">
        <v>1617</v>
      </c>
      <c r="AY107">
        <v>777</v>
      </c>
    </row>
    <row r="108" spans="43:51">
      <c r="AQ108" t="s">
        <v>569</v>
      </c>
      <c r="AR108">
        <v>1478</v>
      </c>
      <c r="AX108" t="s">
        <v>913</v>
      </c>
      <c r="AY108">
        <v>1733</v>
      </c>
    </row>
    <row r="109" spans="43:51">
      <c r="AQ109" t="s">
        <v>1364</v>
      </c>
      <c r="AR109">
        <v>2249</v>
      </c>
      <c r="AX109" t="s">
        <v>1018</v>
      </c>
      <c r="AY109">
        <v>2048</v>
      </c>
    </row>
    <row r="110" spans="43:51">
      <c r="AQ110" t="s">
        <v>95</v>
      </c>
      <c r="AR110">
        <v>1470</v>
      </c>
      <c r="AX110" t="s">
        <v>845</v>
      </c>
      <c r="AY110">
        <v>2045</v>
      </c>
    </row>
    <row r="111" spans="43:51">
      <c r="AQ111" t="s">
        <v>1025</v>
      </c>
      <c r="AR111">
        <v>855</v>
      </c>
      <c r="AX111" t="s">
        <v>110</v>
      </c>
      <c r="AY111">
        <v>830</v>
      </c>
    </row>
    <row r="112" spans="43:51">
      <c r="AQ112" t="s">
        <v>1600</v>
      </c>
      <c r="AR112">
        <v>1877</v>
      </c>
      <c r="AX112" t="s">
        <v>551</v>
      </c>
      <c r="AY112">
        <v>1417</v>
      </c>
    </row>
    <row r="113" spans="43:51">
      <c r="AQ113" t="s">
        <v>513</v>
      </c>
      <c r="AR113">
        <v>1468</v>
      </c>
      <c r="AX113" t="s">
        <v>1581</v>
      </c>
      <c r="AY113">
        <v>2214</v>
      </c>
    </row>
    <row r="114" spans="43:51">
      <c r="AQ114" t="s">
        <v>940</v>
      </c>
      <c r="AR114">
        <v>1881</v>
      </c>
      <c r="AX114" t="s">
        <v>1220</v>
      </c>
      <c r="AY114">
        <v>1424</v>
      </c>
    </row>
    <row r="115" spans="43:51">
      <c r="AQ115" t="s">
        <v>636</v>
      </c>
      <c r="AR115">
        <v>1491</v>
      </c>
      <c r="AX115" t="s">
        <v>567</v>
      </c>
      <c r="AY115">
        <v>1737</v>
      </c>
    </row>
    <row r="116" spans="43:51">
      <c r="AQ116" t="s">
        <v>983</v>
      </c>
      <c r="AR116">
        <v>1486</v>
      </c>
      <c r="AX116" t="s">
        <v>1000</v>
      </c>
      <c r="AY116">
        <v>1436</v>
      </c>
    </row>
    <row r="117" spans="43:51">
      <c r="AQ117" t="s">
        <v>1195</v>
      </c>
      <c r="AR117">
        <v>851</v>
      </c>
      <c r="AX117" t="s">
        <v>912</v>
      </c>
      <c r="AY117">
        <v>2050</v>
      </c>
    </row>
    <row r="118" spans="43:51">
      <c r="AQ118" t="s">
        <v>732</v>
      </c>
      <c r="AR118">
        <v>1483</v>
      </c>
      <c r="AX118" t="s">
        <v>1575</v>
      </c>
      <c r="AY118">
        <v>1441</v>
      </c>
    </row>
    <row r="119" spans="43:51">
      <c r="AQ119" t="s">
        <v>938</v>
      </c>
      <c r="AR119">
        <v>1475</v>
      </c>
      <c r="AX119" t="s">
        <v>791</v>
      </c>
      <c r="AY119">
        <v>1435</v>
      </c>
    </row>
    <row r="120" spans="43:51">
      <c r="AQ120" t="s">
        <v>727</v>
      </c>
      <c r="AR120">
        <v>1900</v>
      </c>
      <c r="AX120" t="s">
        <v>1051</v>
      </c>
      <c r="AY120">
        <v>2031</v>
      </c>
    </row>
    <row r="121" spans="43:51">
      <c r="AQ121" t="s">
        <v>589</v>
      </c>
      <c r="AR121">
        <v>1494</v>
      </c>
      <c r="AX121" t="s">
        <v>783</v>
      </c>
      <c r="AY121">
        <v>1446</v>
      </c>
    </row>
    <row r="122" spans="43:51">
      <c r="AQ122" t="s">
        <v>939</v>
      </c>
      <c r="AR122">
        <v>1482</v>
      </c>
      <c r="AX122" t="s">
        <v>1571</v>
      </c>
      <c r="AY122">
        <v>1897</v>
      </c>
    </row>
    <row r="123" spans="43:51">
      <c r="AQ123" t="s">
        <v>1393</v>
      </c>
      <c r="AR123">
        <v>856</v>
      </c>
      <c r="AX123" t="s">
        <v>456</v>
      </c>
      <c r="AY123">
        <v>1410</v>
      </c>
    </row>
    <row r="124" spans="43:51">
      <c r="AQ124" t="s">
        <v>514</v>
      </c>
      <c r="AR124">
        <v>1742</v>
      </c>
      <c r="AX124" t="s">
        <v>839</v>
      </c>
      <c r="AY124">
        <v>829</v>
      </c>
    </row>
    <row r="125" spans="43:51">
      <c r="AQ125" t="s">
        <v>851</v>
      </c>
      <c r="AR125">
        <v>1743</v>
      </c>
      <c r="AX125" t="s">
        <v>114</v>
      </c>
      <c r="AY125">
        <v>1411</v>
      </c>
    </row>
    <row r="126" spans="43:51">
      <c r="AQ126" t="s">
        <v>96</v>
      </c>
      <c r="AR126">
        <v>822</v>
      </c>
      <c r="AX126" t="s">
        <v>1579</v>
      </c>
      <c r="AY126">
        <v>2037</v>
      </c>
    </row>
    <row r="127" spans="43:51">
      <c r="AQ127" t="s">
        <v>460</v>
      </c>
      <c r="AR127">
        <v>1472</v>
      </c>
      <c r="AX127" t="s">
        <v>1217</v>
      </c>
      <c r="AY127">
        <v>1452</v>
      </c>
    </row>
    <row r="128" spans="43:51">
      <c r="AQ128" t="s">
        <v>1274</v>
      </c>
      <c r="AR128">
        <v>1485</v>
      </c>
      <c r="AX128" t="s">
        <v>910</v>
      </c>
      <c r="AY128">
        <v>817</v>
      </c>
    </row>
    <row r="129" spans="43:51">
      <c r="AQ129" t="s">
        <v>1400</v>
      </c>
      <c r="AR129">
        <v>154265</v>
      </c>
      <c r="AX129" t="s">
        <v>175</v>
      </c>
      <c r="AY129">
        <v>1403</v>
      </c>
    </row>
    <row r="130" spans="43:51">
      <c r="AX130" t="s">
        <v>1408</v>
      </c>
      <c r="AY130">
        <v>1432</v>
      </c>
    </row>
    <row r="131" spans="43:51">
      <c r="AX131" t="s">
        <v>115</v>
      </c>
      <c r="AY131">
        <v>1422</v>
      </c>
    </row>
    <row r="132" spans="43:51">
      <c r="AX132" t="s">
        <v>751</v>
      </c>
      <c r="AY132">
        <v>1449</v>
      </c>
    </row>
    <row r="133" spans="43:51">
      <c r="AX133" t="s">
        <v>591</v>
      </c>
      <c r="AY133">
        <v>1448</v>
      </c>
    </row>
    <row r="134" spans="43:51">
      <c r="AX134" t="s">
        <v>1213</v>
      </c>
      <c r="AY134">
        <v>2216</v>
      </c>
    </row>
    <row r="135" spans="43:51">
      <c r="AX135" t="s">
        <v>780</v>
      </c>
      <c r="AY135">
        <v>1738</v>
      </c>
    </row>
    <row r="136" spans="43:51">
      <c r="AX136" t="s">
        <v>1216</v>
      </c>
      <c r="AY136">
        <v>1421</v>
      </c>
    </row>
    <row r="137" spans="43:51">
      <c r="AX137" t="s">
        <v>543</v>
      </c>
      <c r="AY137">
        <v>1886</v>
      </c>
    </row>
    <row r="138" spans="43:51">
      <c r="AX138" t="s">
        <v>1066</v>
      </c>
      <c r="AY138">
        <v>1898</v>
      </c>
    </row>
    <row r="139" spans="43:51">
      <c r="AX139" t="s">
        <v>1570</v>
      </c>
      <c r="AY139">
        <v>1416</v>
      </c>
    </row>
    <row r="140" spans="43:51">
      <c r="AX140" t="s">
        <v>1276</v>
      </c>
      <c r="AY140">
        <v>1731</v>
      </c>
    </row>
    <row r="141" spans="43:51">
      <c r="AX141" t="s">
        <v>1572</v>
      </c>
      <c r="AY141">
        <v>1447</v>
      </c>
    </row>
    <row r="142" spans="43:51">
      <c r="AX142" t="s">
        <v>1576</v>
      </c>
      <c r="AY142">
        <v>1735</v>
      </c>
    </row>
    <row r="143" spans="43:51">
      <c r="AX143" t="s">
        <v>1573</v>
      </c>
      <c r="AY143">
        <v>2049</v>
      </c>
    </row>
    <row r="144" spans="43:51">
      <c r="AX144" t="s">
        <v>842</v>
      </c>
      <c r="AY144">
        <v>1732</v>
      </c>
    </row>
    <row r="145" spans="50:51">
      <c r="AX145" t="s">
        <v>963</v>
      </c>
      <c r="AY145">
        <v>1418</v>
      </c>
    </row>
    <row r="146" spans="50:51">
      <c r="AX146" t="s">
        <v>455</v>
      </c>
      <c r="AY146">
        <v>1412</v>
      </c>
    </row>
    <row r="147" spans="50:51">
      <c r="AX147" t="s">
        <v>94</v>
      </c>
      <c r="AY147">
        <v>1451</v>
      </c>
    </row>
    <row r="148" spans="50:51">
      <c r="AX148" t="s">
        <v>118</v>
      </c>
      <c r="AY148">
        <v>831</v>
      </c>
    </row>
    <row r="149" spans="50:51">
      <c r="AX149" t="s">
        <v>911</v>
      </c>
      <c r="AY149">
        <v>1730</v>
      </c>
    </row>
    <row r="150" spans="50:51">
      <c r="AX150" t="s">
        <v>520</v>
      </c>
      <c r="AY150">
        <v>1419</v>
      </c>
    </row>
    <row r="151" spans="50:51">
      <c r="AX151" t="s">
        <v>844</v>
      </c>
      <c r="AY151">
        <v>1450</v>
      </c>
    </row>
    <row r="152" spans="50:51">
      <c r="AX152" t="s">
        <v>1078</v>
      </c>
      <c r="AY152">
        <v>1430</v>
      </c>
    </row>
    <row r="153" spans="50:51">
      <c r="AX153" t="s">
        <v>1337</v>
      </c>
      <c r="AY153">
        <v>1438</v>
      </c>
    </row>
    <row r="154" spans="50:51">
      <c r="AX154" t="s">
        <v>119</v>
      </c>
      <c r="AY154">
        <v>1445</v>
      </c>
    </row>
    <row r="155" spans="50:51">
      <c r="AX155" t="s">
        <v>1215</v>
      </c>
      <c r="AY155">
        <v>1420</v>
      </c>
    </row>
    <row r="156" spans="50:51">
      <c r="AX156" t="s">
        <v>980</v>
      </c>
      <c r="AY156">
        <v>1734</v>
      </c>
    </row>
    <row r="157" spans="50:51">
      <c r="AX157" t="s">
        <v>1277</v>
      </c>
      <c r="AY157">
        <v>1427</v>
      </c>
    </row>
    <row r="158" spans="50:51">
      <c r="AX158" t="s">
        <v>121</v>
      </c>
      <c r="AY158">
        <v>1426</v>
      </c>
    </row>
    <row r="159" spans="50:51">
      <c r="AX159" t="s">
        <v>1348</v>
      </c>
      <c r="AY159">
        <v>1406</v>
      </c>
    </row>
    <row r="160" spans="50:51">
      <c r="AX160" t="s">
        <v>843</v>
      </c>
      <c r="AY160">
        <v>1423</v>
      </c>
    </row>
    <row r="161" spans="50:51">
      <c r="AX161" t="s">
        <v>594</v>
      </c>
      <c r="AY161">
        <v>1413</v>
      </c>
    </row>
    <row r="162" spans="50:51">
      <c r="AX162" t="s">
        <v>840</v>
      </c>
      <c r="AY162">
        <v>1425</v>
      </c>
    </row>
    <row r="163" spans="50:51">
      <c r="AX163" t="s">
        <v>251</v>
      </c>
      <c r="AY163">
        <v>1736</v>
      </c>
    </row>
    <row r="164" spans="50:51">
      <c r="AX164" t="s">
        <v>1578</v>
      </c>
      <c r="AY164">
        <v>2223</v>
      </c>
    </row>
    <row r="165" spans="50:51">
      <c r="AX165" t="s">
        <v>1052</v>
      </c>
      <c r="AY165">
        <v>2243</v>
      </c>
    </row>
    <row r="166" spans="50:51">
      <c r="AX166" t="s">
        <v>1278</v>
      </c>
      <c r="AY166">
        <v>1885</v>
      </c>
    </row>
    <row r="167" spans="50:51">
      <c r="AX167" t="s">
        <v>393</v>
      </c>
      <c r="AY167">
        <v>1414</v>
      </c>
    </row>
    <row r="168" spans="50:51">
      <c r="AX168" t="s">
        <v>1365</v>
      </c>
      <c r="AY168">
        <v>1433</v>
      </c>
    </row>
    <row r="169" spans="50:51">
      <c r="AX169" t="s">
        <v>979</v>
      </c>
      <c r="AY169">
        <v>1428</v>
      </c>
    </row>
    <row r="170" spans="50:51">
      <c r="AX170" t="s">
        <v>1008</v>
      </c>
      <c r="AY170">
        <v>1444</v>
      </c>
    </row>
    <row r="171" spans="50:51">
      <c r="AX171" t="s">
        <v>1400</v>
      </c>
      <c r="AY171">
        <v>221219</v>
      </c>
    </row>
  </sheetData>
  <sortState xmlns:xlrd2="http://schemas.microsoft.com/office/spreadsheetml/2017/richdata2" ref="OJ3:OK13">
    <sortCondition ref="OJ7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R195"/>
  <sheetViews>
    <sheetView topLeftCell="A2" workbookViewId="0">
      <selection activeCell="R19" sqref="R19"/>
    </sheetView>
  </sheetViews>
  <sheetFormatPr baseColWidth="10" defaultRowHeight="13"/>
  <cols>
    <col min="1" max="1" width="21.33203125" bestFit="1" customWidth="1"/>
    <col min="2" max="2" width="9.1640625" bestFit="1" customWidth="1"/>
    <col min="3" max="7" width="1.83203125" customWidth="1"/>
    <col min="8" max="8" width="21.33203125" bestFit="1" customWidth="1"/>
    <col min="9" max="9" width="9.1640625" bestFit="1" customWidth="1"/>
    <col min="10" max="14" width="1.83203125" customWidth="1"/>
    <col min="15" max="15" width="22.83203125" bestFit="1" customWidth="1"/>
    <col min="16" max="16" width="7.1640625" bestFit="1" customWidth="1"/>
    <col min="17" max="21" width="1.83203125" customWidth="1"/>
    <col min="22" max="22" width="21.5" bestFit="1" customWidth="1"/>
    <col min="23" max="23" width="10.6640625" bestFit="1" customWidth="1"/>
    <col min="24" max="28" width="1.83203125" customWidth="1"/>
    <col min="29" max="29" width="24" bestFit="1" customWidth="1"/>
    <col min="30" max="30" width="7.33203125" bestFit="1" customWidth="1"/>
    <col min="31" max="35" width="1.83203125" customWidth="1"/>
    <col min="36" max="36" width="12.6640625" bestFit="1" customWidth="1"/>
    <col min="37" max="37" width="7" bestFit="1" customWidth="1"/>
    <col min="38" max="42" width="1.83203125" customWidth="1"/>
    <col min="43" max="43" width="24.6640625" bestFit="1" customWidth="1"/>
    <col min="44" max="44" width="9.5" bestFit="1" customWidth="1"/>
    <col min="45" max="49" width="1.83203125" customWidth="1"/>
    <col min="50" max="50" width="25" bestFit="1" customWidth="1"/>
    <col min="51" max="51" width="7.1640625" customWidth="1"/>
    <col min="52" max="56" width="1.83203125" customWidth="1"/>
    <col min="57" max="57" width="22.6640625" bestFit="1" customWidth="1"/>
    <col min="58" max="58" width="9.1640625" bestFit="1" customWidth="1"/>
    <col min="59" max="63" width="1.83203125" customWidth="1"/>
    <col min="64" max="64" width="20.33203125" bestFit="1" customWidth="1"/>
    <col min="65" max="65" width="10.1640625" bestFit="1" customWidth="1"/>
    <col min="66" max="70" width="1.83203125" customWidth="1"/>
    <col min="71" max="71" width="12.6640625" bestFit="1" customWidth="1"/>
    <col min="72" max="72" width="7.6640625" bestFit="1" customWidth="1"/>
    <col min="73" max="77" width="1.83203125" customWidth="1"/>
    <col min="78" max="78" width="12.6640625" bestFit="1" customWidth="1"/>
    <col min="79" max="79" width="8.1640625" bestFit="1" customWidth="1"/>
    <col min="80" max="84" width="1.83203125" customWidth="1"/>
    <col min="85" max="85" width="23.83203125" bestFit="1" customWidth="1"/>
    <col min="86" max="86" width="8.1640625" bestFit="1" customWidth="1"/>
    <col min="87" max="91" width="1.83203125" customWidth="1"/>
    <col min="92" max="92" width="20.83203125" bestFit="1" customWidth="1"/>
    <col min="93" max="93" width="9.6640625" bestFit="1" customWidth="1"/>
    <col min="94" max="98" width="1.83203125" customWidth="1"/>
    <col min="99" max="99" width="23.6640625" bestFit="1" customWidth="1"/>
    <col min="100" max="100" width="10.6640625" bestFit="1" customWidth="1"/>
    <col min="101" max="105" width="1.83203125" customWidth="1"/>
    <col min="106" max="106" width="23.33203125" bestFit="1" customWidth="1"/>
    <col min="107" max="107" width="10.33203125" bestFit="1" customWidth="1"/>
    <col min="108" max="112" width="1.83203125" customWidth="1"/>
    <col min="113" max="113" width="12.6640625" bestFit="1" customWidth="1"/>
    <col min="114" max="114" width="7.5" bestFit="1" customWidth="1"/>
    <col min="115" max="119" width="1.83203125" customWidth="1"/>
    <col min="120" max="120" width="22.1640625" bestFit="1" customWidth="1"/>
    <col min="121" max="121" width="9.6640625" bestFit="1" customWidth="1"/>
    <col min="122" max="126" width="1.83203125" customWidth="1"/>
    <col min="127" max="127" width="20.6640625" bestFit="1" customWidth="1"/>
    <col min="128" max="128" width="9.5" bestFit="1" customWidth="1"/>
    <col min="129" max="133" width="1.83203125" customWidth="1"/>
    <col min="134" max="134" width="23.1640625" bestFit="1" customWidth="1"/>
    <col min="135" max="135" width="8.33203125" bestFit="1" customWidth="1"/>
    <col min="136" max="140" width="1.83203125" customWidth="1"/>
    <col min="141" max="141" width="12.6640625" bestFit="1" customWidth="1"/>
    <col min="142" max="142" width="7" bestFit="1" customWidth="1"/>
    <col min="143" max="147" width="1.83203125" customWidth="1"/>
    <col min="148" max="148" width="23.6640625" bestFit="1" customWidth="1"/>
    <col min="149" max="149" width="7.33203125" bestFit="1" customWidth="1"/>
    <col min="150" max="154" width="1.83203125" customWidth="1"/>
    <col min="155" max="155" width="23.33203125" bestFit="1" customWidth="1"/>
    <col min="156" max="156" width="8.33203125" bestFit="1" customWidth="1"/>
    <col min="157" max="161" width="1.83203125" customWidth="1"/>
    <col min="162" max="162" width="21.5" bestFit="1" customWidth="1"/>
    <col min="163" max="163" width="8.5" bestFit="1" customWidth="1"/>
    <col min="164" max="168" width="1.83203125" customWidth="1"/>
    <col min="169" max="169" width="12.6640625" bestFit="1" customWidth="1"/>
    <col min="170" max="170" width="7.6640625" bestFit="1" customWidth="1"/>
    <col min="171" max="175" width="1.83203125" customWidth="1"/>
    <col min="176" max="176" width="23.6640625" bestFit="1" customWidth="1"/>
    <col min="177" max="177" width="9" bestFit="1" customWidth="1"/>
    <col min="178" max="182" width="1.83203125" customWidth="1"/>
    <col min="183" max="183" width="21.1640625" bestFit="1" customWidth="1"/>
    <col min="184" max="184" width="8.33203125" bestFit="1" customWidth="1"/>
    <col min="185" max="189" width="1.83203125" customWidth="1"/>
    <col min="190" max="190" width="23" bestFit="1" customWidth="1"/>
    <col min="191" max="191" width="8.83203125" bestFit="1" customWidth="1"/>
    <col min="192" max="196" width="1.83203125" customWidth="1"/>
    <col min="197" max="197" width="23" bestFit="1" customWidth="1"/>
    <col min="198" max="198" width="10.5" bestFit="1" customWidth="1"/>
    <col min="199" max="203" width="1.83203125" customWidth="1"/>
    <col min="204" max="204" width="20.83203125" bestFit="1" customWidth="1"/>
    <col min="205" max="205" width="7.1640625" bestFit="1" customWidth="1"/>
    <col min="206" max="210" width="1.83203125" customWidth="1"/>
    <col min="211" max="211" width="26.1640625" bestFit="1" customWidth="1"/>
    <col min="212" max="212" width="8.5" bestFit="1" customWidth="1"/>
    <col min="213" max="217" width="1.83203125" customWidth="1"/>
    <col min="218" max="218" width="12.6640625" bestFit="1" customWidth="1"/>
    <col min="219" max="219" width="7.33203125" bestFit="1" customWidth="1"/>
    <col min="220" max="224" width="1.83203125" customWidth="1"/>
    <col min="225" max="225" width="23.83203125" bestFit="1" customWidth="1"/>
    <col min="226" max="226" width="8.33203125" bestFit="1" customWidth="1"/>
    <col min="227" max="231" width="1.83203125" customWidth="1"/>
    <col min="232" max="232" width="23.6640625" bestFit="1" customWidth="1"/>
    <col min="233" max="233" width="8.1640625" bestFit="1" customWidth="1"/>
    <col min="234" max="238" width="1.83203125" customWidth="1"/>
    <col min="239" max="239" width="22.83203125" bestFit="1" customWidth="1"/>
    <col min="240" max="240" width="9" bestFit="1" customWidth="1"/>
    <col min="241" max="245" width="1.83203125" customWidth="1"/>
    <col min="246" max="246" width="22.1640625" bestFit="1" customWidth="1"/>
    <col min="247" max="247" width="8.5" bestFit="1" customWidth="1"/>
    <col min="248" max="252" width="1.83203125" customWidth="1"/>
    <col min="253" max="253" width="17.1640625" bestFit="1" customWidth="1"/>
    <col min="254" max="254" width="8.1640625" bestFit="1" customWidth="1"/>
    <col min="255" max="259" width="1.83203125" customWidth="1"/>
    <col min="260" max="260" width="24" bestFit="1" customWidth="1"/>
    <col min="261" max="261" width="7.33203125" bestFit="1" customWidth="1"/>
    <col min="262" max="266" width="1.83203125" customWidth="1"/>
    <col min="267" max="267" width="22.33203125" bestFit="1" customWidth="1"/>
    <col min="268" max="268" width="8.5" bestFit="1" customWidth="1"/>
    <col min="269" max="273" width="1.83203125" customWidth="1"/>
    <col min="274" max="274" width="22.5" bestFit="1" customWidth="1"/>
    <col min="275" max="275" width="9.1640625" bestFit="1" customWidth="1"/>
    <col min="276" max="280" width="1.83203125" customWidth="1"/>
    <col min="281" max="281" width="23" bestFit="1" customWidth="1"/>
    <col min="282" max="282" width="7.33203125" bestFit="1" customWidth="1"/>
    <col min="283" max="287" width="1.83203125" customWidth="1"/>
    <col min="288" max="288" width="25.33203125" bestFit="1" customWidth="1"/>
    <col min="289" max="289" width="8.5" bestFit="1" customWidth="1"/>
    <col min="290" max="294" width="1.83203125" customWidth="1"/>
    <col min="295" max="295" width="22.83203125" bestFit="1" customWidth="1"/>
    <col min="296" max="296" width="8.33203125" bestFit="1" customWidth="1"/>
    <col min="297" max="301" width="1.83203125" customWidth="1"/>
    <col min="302" max="302" width="21.1640625" bestFit="1" customWidth="1"/>
    <col min="303" max="303" width="6.83203125" bestFit="1" customWidth="1"/>
    <col min="304" max="308" width="1.83203125" customWidth="1"/>
    <col min="309" max="309" width="12.6640625" bestFit="1" customWidth="1"/>
    <col min="310" max="310" width="7" bestFit="1" customWidth="1"/>
    <col min="311" max="315" width="1.83203125" customWidth="1"/>
    <col min="316" max="316" width="23.33203125" bestFit="1" customWidth="1"/>
    <col min="317" max="317" width="9" bestFit="1" customWidth="1"/>
    <col min="318" max="322" width="1.83203125" customWidth="1"/>
    <col min="323" max="323" width="22.83203125" bestFit="1" customWidth="1"/>
    <col min="324" max="324" width="9.83203125" bestFit="1" customWidth="1"/>
    <col min="325" max="329" width="1.83203125" customWidth="1"/>
    <col min="330" max="330" width="19.33203125" bestFit="1" customWidth="1"/>
    <col min="331" max="331" width="8.83203125" bestFit="1" customWidth="1"/>
    <col min="332" max="336" width="1.83203125" customWidth="1"/>
    <col min="337" max="337" width="22.1640625" bestFit="1" customWidth="1"/>
    <col min="338" max="338" width="7" bestFit="1" customWidth="1"/>
    <col min="339" max="343" width="1.83203125" customWidth="1"/>
    <col min="344" max="344" width="12.6640625" bestFit="1" customWidth="1"/>
    <col min="345" max="345" width="5" bestFit="1" customWidth="1"/>
    <col min="346" max="350" width="1.83203125" customWidth="1"/>
    <col min="351" max="351" width="12.6640625" bestFit="1" customWidth="1"/>
    <col min="352" max="352" width="7.6640625" bestFit="1" customWidth="1"/>
    <col min="353" max="357" width="1.83203125" customWidth="1"/>
    <col min="358" max="358" width="22" bestFit="1" customWidth="1"/>
    <col min="359" max="359" width="8.83203125" bestFit="1" customWidth="1"/>
    <col min="360" max="364" width="1.83203125" customWidth="1"/>
    <col min="365" max="365" width="23.83203125" bestFit="1" customWidth="1"/>
    <col min="366" max="366" width="9.1640625" bestFit="1" customWidth="1"/>
    <col min="367" max="371" width="1.83203125" customWidth="1"/>
    <col min="372" max="372" width="12.6640625" bestFit="1" customWidth="1"/>
    <col min="373" max="373" width="5.83203125" bestFit="1" customWidth="1"/>
    <col min="374" max="378" width="1.83203125" customWidth="1"/>
    <col min="379" max="379" width="12.6640625" bestFit="1" customWidth="1"/>
    <col min="380" max="380" width="8.1640625" bestFit="1" customWidth="1"/>
    <col min="381" max="385" width="1.83203125" customWidth="1"/>
    <col min="386" max="386" width="23.33203125" bestFit="1" customWidth="1"/>
    <col min="387" max="387" width="9.33203125" bestFit="1" customWidth="1"/>
    <col min="388" max="392" width="1.83203125" customWidth="1"/>
    <col min="393" max="393" width="24" bestFit="1" customWidth="1"/>
    <col min="394" max="394" width="9.1640625" bestFit="1" customWidth="1"/>
    <col min="395" max="399" width="1.83203125" customWidth="1"/>
    <col min="400" max="400" width="23.83203125" bestFit="1" customWidth="1"/>
    <col min="401" max="401" width="8.1640625" bestFit="1" customWidth="1"/>
    <col min="402" max="406" width="1.83203125" customWidth="1"/>
    <col min="407" max="407" width="12.6640625" customWidth="1"/>
    <col min="408" max="408" width="5" bestFit="1" customWidth="1"/>
    <col min="409" max="413" width="1.83203125" customWidth="1"/>
    <col min="414" max="503" width="4.1640625" customWidth="1"/>
    <col min="504" max="953" width="5.1640625" customWidth="1"/>
    <col min="954" max="954" width="4.1640625" customWidth="1"/>
    <col min="955" max="955" width="6.33203125" customWidth="1"/>
    <col min="956" max="956" width="10" customWidth="1"/>
  </cols>
  <sheetData>
    <row r="1" spans="1:408" ht="14" customHeight="1">
      <c r="A1" s="62" t="s">
        <v>3</v>
      </c>
      <c r="B1" t="s">
        <v>954</v>
      </c>
      <c r="H1" s="62" t="s">
        <v>3</v>
      </c>
      <c r="I1" t="s">
        <v>796</v>
      </c>
      <c r="O1" s="62" t="s">
        <v>3</v>
      </c>
      <c r="P1" t="s">
        <v>1236</v>
      </c>
      <c r="V1" s="62" t="s">
        <v>3</v>
      </c>
      <c r="W1" t="s">
        <v>1042</v>
      </c>
      <c r="AC1" s="62" t="s">
        <v>3</v>
      </c>
      <c r="AD1" t="s">
        <v>159</v>
      </c>
      <c r="AJ1" s="62" t="s">
        <v>3</v>
      </c>
      <c r="AK1" s="63">
        <v>0</v>
      </c>
      <c r="AQ1" s="62" t="s">
        <v>3</v>
      </c>
      <c r="AR1" t="s">
        <v>97</v>
      </c>
      <c r="AX1" s="62" t="s">
        <v>3</v>
      </c>
      <c r="AY1" t="s">
        <v>123</v>
      </c>
      <c r="BE1" s="62" t="s">
        <v>3</v>
      </c>
      <c r="BF1" t="s">
        <v>509</v>
      </c>
      <c r="BL1" s="62" t="s">
        <v>3</v>
      </c>
      <c r="BM1" t="s">
        <v>152</v>
      </c>
      <c r="BS1" s="62" t="s">
        <v>3</v>
      </c>
      <c r="BT1" s="63">
        <v>0</v>
      </c>
      <c r="BZ1" s="62" t="s">
        <v>3</v>
      </c>
      <c r="CA1" s="63">
        <v>0</v>
      </c>
      <c r="CG1" s="62" t="s">
        <v>3</v>
      </c>
      <c r="CH1" t="s">
        <v>143</v>
      </c>
      <c r="CN1" s="62" t="s">
        <v>3</v>
      </c>
      <c r="CO1" t="s">
        <v>158</v>
      </c>
      <c r="CU1" s="62" t="s">
        <v>3</v>
      </c>
      <c r="CV1" t="s">
        <v>156</v>
      </c>
      <c r="DB1" s="62" t="s">
        <v>3</v>
      </c>
      <c r="DC1" t="s">
        <v>170</v>
      </c>
      <c r="DI1" s="62" t="s">
        <v>3</v>
      </c>
      <c r="DJ1" s="63">
        <v>0</v>
      </c>
      <c r="DP1" s="62" t="s">
        <v>3</v>
      </c>
      <c r="DQ1" t="s">
        <v>437</v>
      </c>
      <c r="DW1" s="62" t="s">
        <v>3</v>
      </c>
      <c r="DX1" t="s">
        <v>510</v>
      </c>
      <c r="ED1" s="62" t="s">
        <v>3</v>
      </c>
      <c r="EE1" t="s">
        <v>171</v>
      </c>
      <c r="EK1" s="62" t="s">
        <v>3</v>
      </c>
      <c r="EL1" s="63">
        <v>0</v>
      </c>
      <c r="ER1" s="62" t="s">
        <v>3</v>
      </c>
      <c r="ES1" t="s">
        <v>1238</v>
      </c>
      <c r="EY1" s="62" t="s">
        <v>3</v>
      </c>
      <c r="EZ1" t="s">
        <v>153</v>
      </c>
      <c r="FF1" s="62" t="s">
        <v>3</v>
      </c>
      <c r="FG1" t="s">
        <v>531</v>
      </c>
      <c r="FM1" s="62" t="s">
        <v>3</v>
      </c>
      <c r="FN1" s="63">
        <v>0</v>
      </c>
      <c r="FT1" s="62" t="s">
        <v>3</v>
      </c>
      <c r="FU1" t="s">
        <v>545</v>
      </c>
      <c r="GA1" s="62" t="s">
        <v>3</v>
      </c>
      <c r="GB1" t="s">
        <v>1069</v>
      </c>
      <c r="GH1" s="62" t="s">
        <v>3</v>
      </c>
      <c r="GI1" t="s">
        <v>736</v>
      </c>
      <c r="GO1" s="62" t="s">
        <v>3</v>
      </c>
      <c r="GP1" t="s">
        <v>157</v>
      </c>
      <c r="GV1" s="62" t="s">
        <v>3</v>
      </c>
      <c r="GW1" t="s">
        <v>169</v>
      </c>
      <c r="HC1" s="62" t="s">
        <v>3</v>
      </c>
      <c r="HD1" t="s">
        <v>150</v>
      </c>
      <c r="HJ1" s="62" t="s">
        <v>3</v>
      </c>
      <c r="HK1" s="63">
        <v>0</v>
      </c>
      <c r="HQ1" s="62" t="s">
        <v>3</v>
      </c>
      <c r="HR1" t="s">
        <v>406</v>
      </c>
      <c r="HX1" s="62" t="s">
        <v>3</v>
      </c>
      <c r="HY1" t="s">
        <v>164</v>
      </c>
      <c r="IE1" s="62" t="s">
        <v>3</v>
      </c>
      <c r="IF1" t="s">
        <v>161</v>
      </c>
      <c r="IL1" s="62" t="s">
        <v>3</v>
      </c>
      <c r="IM1" t="s">
        <v>166</v>
      </c>
      <c r="IS1" s="62" t="s">
        <v>3</v>
      </c>
      <c r="IT1" t="s">
        <v>1079</v>
      </c>
      <c r="IZ1" s="62" t="s">
        <v>3</v>
      </c>
      <c r="JA1" t="s">
        <v>124</v>
      </c>
      <c r="JG1" s="62" t="s">
        <v>3</v>
      </c>
      <c r="JH1" t="s">
        <v>959</v>
      </c>
      <c r="JN1" s="62" t="s">
        <v>3</v>
      </c>
      <c r="JO1" t="s">
        <v>1240</v>
      </c>
      <c r="JU1" s="62" t="s">
        <v>3</v>
      </c>
      <c r="JV1" t="s">
        <v>125</v>
      </c>
      <c r="KB1" s="62" t="s">
        <v>3</v>
      </c>
      <c r="KC1" t="s">
        <v>1241</v>
      </c>
      <c r="KI1" s="62" t="s">
        <v>3</v>
      </c>
      <c r="KJ1" t="s">
        <v>148</v>
      </c>
      <c r="KP1" s="62" t="s">
        <v>3</v>
      </c>
      <c r="KQ1" t="s">
        <v>721</v>
      </c>
      <c r="KW1" s="62" t="s">
        <v>3</v>
      </c>
      <c r="KX1" s="63">
        <v>0</v>
      </c>
      <c r="LD1" s="62" t="s">
        <v>3</v>
      </c>
      <c r="LE1" t="s">
        <v>90</v>
      </c>
      <c r="LK1" s="62" t="s">
        <v>3</v>
      </c>
      <c r="LL1" t="s">
        <v>151</v>
      </c>
      <c r="LR1" s="62" t="s">
        <v>3</v>
      </c>
      <c r="LS1" t="s">
        <v>149</v>
      </c>
      <c r="LY1" s="62" t="s">
        <v>3</v>
      </c>
      <c r="LZ1" t="s">
        <v>168</v>
      </c>
      <c r="MF1" s="62" t="s">
        <v>3</v>
      </c>
      <c r="MG1" s="63">
        <v>0</v>
      </c>
      <c r="MM1" s="62" t="s">
        <v>3</v>
      </c>
      <c r="MN1" s="63">
        <v>0</v>
      </c>
      <c r="MT1" s="62" t="s">
        <v>3</v>
      </c>
      <c r="MU1" t="s">
        <v>1242</v>
      </c>
      <c r="NA1" s="62" t="s">
        <v>3</v>
      </c>
      <c r="NB1" t="s">
        <v>147</v>
      </c>
      <c r="NH1" s="62" t="s">
        <v>3</v>
      </c>
      <c r="NI1" s="63">
        <v>0</v>
      </c>
      <c r="NO1" s="62" t="s">
        <v>3</v>
      </c>
      <c r="NP1" s="63">
        <v>0</v>
      </c>
      <c r="NV1" s="62" t="s">
        <v>3</v>
      </c>
      <c r="NW1" t="s">
        <v>671</v>
      </c>
      <c r="OC1" s="62" t="s">
        <v>3</v>
      </c>
      <c r="OD1" t="s">
        <v>1646</v>
      </c>
      <c r="OJ1" s="62" t="s">
        <v>3</v>
      </c>
      <c r="OK1" t="s">
        <v>1654</v>
      </c>
      <c r="OQ1" s="62" t="s">
        <v>3</v>
      </c>
      <c r="OR1" s="63">
        <v>0</v>
      </c>
    </row>
    <row r="2" spans="1:408" s="64" customFormat="1" ht="22" customHeight="1">
      <c r="A2" s="64" t="s">
        <v>954</v>
      </c>
      <c r="B2" s="118" t="s">
        <v>954</v>
      </c>
      <c r="H2" s="64" t="s">
        <v>796</v>
      </c>
      <c r="I2" s="118" t="s">
        <v>796</v>
      </c>
      <c r="O2" s="64" t="s">
        <v>1236</v>
      </c>
      <c r="P2" s="118" t="s">
        <v>1236</v>
      </c>
      <c r="V2" s="64" t="s">
        <v>1042</v>
      </c>
      <c r="W2" s="118" t="s">
        <v>1042</v>
      </c>
      <c r="AC2" s="64" t="s">
        <v>159</v>
      </c>
      <c r="AD2" s="118" t="s">
        <v>159</v>
      </c>
      <c r="AJ2" s="64">
        <v>0</v>
      </c>
      <c r="AK2" s="118" t="s">
        <v>999</v>
      </c>
      <c r="AQ2" s="64" t="s">
        <v>97</v>
      </c>
      <c r="AR2" s="118" t="s">
        <v>97</v>
      </c>
      <c r="AX2" s="64" t="s">
        <v>123</v>
      </c>
      <c r="AY2" s="118" t="s">
        <v>123</v>
      </c>
      <c r="BE2" s="64" t="s">
        <v>509</v>
      </c>
      <c r="BF2" s="118" t="s">
        <v>509</v>
      </c>
      <c r="BL2" s="64" t="s">
        <v>152</v>
      </c>
      <c r="BM2" s="118" t="s">
        <v>152</v>
      </c>
      <c r="BS2" s="64">
        <v>0</v>
      </c>
      <c r="BT2" s="118" t="s">
        <v>165</v>
      </c>
      <c r="BZ2" s="64">
        <v>0</v>
      </c>
      <c r="CA2" s="118" t="s">
        <v>957</v>
      </c>
      <c r="CG2" s="64" t="s">
        <v>143</v>
      </c>
      <c r="CH2" s="118" t="s">
        <v>143</v>
      </c>
      <c r="CN2" s="64" t="s">
        <v>158</v>
      </c>
      <c r="CO2" s="118" t="s">
        <v>158</v>
      </c>
      <c r="CU2" s="64" t="s">
        <v>156</v>
      </c>
      <c r="CV2" s="118" t="s">
        <v>156</v>
      </c>
      <c r="DB2" s="64" t="s">
        <v>170</v>
      </c>
      <c r="DC2" s="118" t="s">
        <v>170</v>
      </c>
      <c r="DI2" s="64">
        <v>0</v>
      </c>
      <c r="DJ2" s="118" t="s">
        <v>894</v>
      </c>
      <c r="DP2" s="64" t="s">
        <v>437</v>
      </c>
      <c r="DQ2" s="118" t="s">
        <v>437</v>
      </c>
      <c r="DW2" s="64" t="s">
        <v>510</v>
      </c>
      <c r="DX2" s="118" t="s">
        <v>510</v>
      </c>
      <c r="ED2" s="64" t="s">
        <v>171</v>
      </c>
      <c r="EE2" s="118" t="s">
        <v>171</v>
      </c>
      <c r="EK2" s="64">
        <v>0</v>
      </c>
      <c r="EL2" s="118" t="s">
        <v>1237</v>
      </c>
      <c r="ER2" s="64" t="s">
        <v>1238</v>
      </c>
      <c r="ES2" s="118" t="s">
        <v>1238</v>
      </c>
      <c r="EY2" s="64" t="s">
        <v>153</v>
      </c>
      <c r="EZ2" s="118" t="s">
        <v>153</v>
      </c>
      <c r="FF2" s="64" t="s">
        <v>531</v>
      </c>
      <c r="FG2" s="118" t="s">
        <v>531</v>
      </c>
      <c r="FM2" s="64">
        <v>0</v>
      </c>
      <c r="FN2" s="118" t="s">
        <v>1239</v>
      </c>
      <c r="FT2" s="64" t="s">
        <v>545</v>
      </c>
      <c r="FU2" s="118" t="s">
        <v>545</v>
      </c>
      <c r="GA2" s="64" t="s">
        <v>1069</v>
      </c>
      <c r="GB2" s="118" t="s">
        <v>1069</v>
      </c>
      <c r="GH2" s="64" t="s">
        <v>736</v>
      </c>
      <c r="GI2" s="118" t="s">
        <v>736</v>
      </c>
      <c r="GO2" s="64" t="s">
        <v>157</v>
      </c>
      <c r="GP2" s="118" t="s">
        <v>157</v>
      </c>
      <c r="GV2" s="64" t="s">
        <v>169</v>
      </c>
      <c r="GW2" s="118" t="s">
        <v>169</v>
      </c>
      <c r="HC2" s="64" t="s">
        <v>150</v>
      </c>
      <c r="HD2" s="118" t="s">
        <v>150</v>
      </c>
      <c r="HJ2" s="64">
        <v>0</v>
      </c>
      <c r="HK2" s="118" t="s">
        <v>508</v>
      </c>
      <c r="HQ2" s="64" t="s">
        <v>406</v>
      </c>
      <c r="HR2" s="118" t="s">
        <v>406</v>
      </c>
      <c r="HX2" s="64" t="s">
        <v>164</v>
      </c>
      <c r="HY2" s="118" t="s">
        <v>164</v>
      </c>
      <c r="IE2" s="64" t="s">
        <v>161</v>
      </c>
      <c r="IF2" s="118" t="s">
        <v>161</v>
      </c>
      <c r="IL2" s="64" t="s">
        <v>166</v>
      </c>
      <c r="IM2" s="118" t="s">
        <v>166</v>
      </c>
      <c r="IS2" s="64" t="s">
        <v>1079</v>
      </c>
      <c r="IT2" s="118" t="s">
        <v>1079</v>
      </c>
      <c r="IZ2" s="64" t="s">
        <v>124</v>
      </c>
      <c r="JA2" s="118" t="s">
        <v>124</v>
      </c>
      <c r="JG2" s="64" t="s">
        <v>959</v>
      </c>
      <c r="JH2" s="118" t="s">
        <v>959</v>
      </c>
      <c r="JN2" s="64" t="s">
        <v>1240</v>
      </c>
      <c r="JO2" s="118" t="s">
        <v>1240</v>
      </c>
      <c r="JU2" s="64" t="s">
        <v>125</v>
      </c>
      <c r="JV2" s="118" t="s">
        <v>125</v>
      </c>
      <c r="KB2" s="64" t="s">
        <v>1241</v>
      </c>
      <c r="KC2" s="118" t="s">
        <v>1241</v>
      </c>
      <c r="KI2" s="64" t="s">
        <v>148</v>
      </c>
      <c r="KJ2" s="118" t="s">
        <v>148</v>
      </c>
      <c r="KP2" s="64" t="s">
        <v>721</v>
      </c>
      <c r="KQ2" s="118" t="s">
        <v>721</v>
      </c>
      <c r="KW2" s="64">
        <v>0</v>
      </c>
      <c r="KX2" s="118" t="s">
        <v>893</v>
      </c>
      <c r="LD2" s="64" t="s">
        <v>90</v>
      </c>
      <c r="LE2" s="118" t="s">
        <v>90</v>
      </c>
      <c r="LK2" s="64" t="s">
        <v>151</v>
      </c>
      <c r="LL2" s="118" t="s">
        <v>151</v>
      </c>
      <c r="LR2" s="64" t="s">
        <v>149</v>
      </c>
      <c r="LS2" s="118" t="s">
        <v>149</v>
      </c>
      <c r="LY2" s="64" t="s">
        <v>168</v>
      </c>
      <c r="LZ2" s="118" t="s">
        <v>168</v>
      </c>
      <c r="MF2" s="64">
        <v>0</v>
      </c>
      <c r="MG2" s="118" t="s">
        <v>706</v>
      </c>
      <c r="MM2" s="64">
        <v>0</v>
      </c>
      <c r="MN2" s="118" t="s">
        <v>956</v>
      </c>
      <c r="MT2" s="64" t="s">
        <v>1242</v>
      </c>
      <c r="MU2" s="118" t="s">
        <v>1242</v>
      </c>
      <c r="NA2" s="64" t="s">
        <v>147</v>
      </c>
      <c r="NB2" s="118" t="s">
        <v>147</v>
      </c>
      <c r="NH2" s="64">
        <v>0</v>
      </c>
      <c r="NI2" s="118" t="s">
        <v>408</v>
      </c>
      <c r="NO2" s="64">
        <v>0</v>
      </c>
      <c r="NP2" s="118" t="s">
        <v>433</v>
      </c>
      <c r="NV2" s="64" t="s">
        <v>671</v>
      </c>
      <c r="NW2" s="118" t="s">
        <v>671</v>
      </c>
      <c r="OC2" s="64" t="s">
        <v>1646</v>
      </c>
      <c r="OD2" s="118"/>
      <c r="OJ2" s="64" t="s">
        <v>1654</v>
      </c>
      <c r="OK2" s="118"/>
      <c r="OQ2" s="64">
        <v>0</v>
      </c>
      <c r="OR2" s="118"/>
    </row>
    <row r="3" spans="1:408">
      <c r="A3" t="s">
        <v>173</v>
      </c>
      <c r="H3" t="s">
        <v>173</v>
      </c>
      <c r="O3" t="s">
        <v>173</v>
      </c>
      <c r="V3" t="s">
        <v>173</v>
      </c>
      <c r="AC3" t="s">
        <v>173</v>
      </c>
      <c r="AJ3" t="s">
        <v>173</v>
      </c>
      <c r="AQ3" t="s">
        <v>173</v>
      </c>
      <c r="AX3" t="s">
        <v>173</v>
      </c>
      <c r="BE3" t="s">
        <v>173</v>
      </c>
      <c r="BL3" t="s">
        <v>173</v>
      </c>
      <c r="BS3" t="s">
        <v>173</v>
      </c>
      <c r="BZ3" t="s">
        <v>173</v>
      </c>
      <c r="CG3" t="s">
        <v>173</v>
      </c>
      <c r="CN3" t="s">
        <v>173</v>
      </c>
      <c r="CU3" t="s">
        <v>173</v>
      </c>
      <c r="DB3" t="s">
        <v>173</v>
      </c>
      <c r="DI3" t="s">
        <v>173</v>
      </c>
      <c r="DP3" t="s">
        <v>173</v>
      </c>
      <c r="DW3" t="s">
        <v>173</v>
      </c>
      <c r="ED3" t="s">
        <v>173</v>
      </c>
      <c r="EK3" t="s">
        <v>173</v>
      </c>
      <c r="ER3" t="s">
        <v>173</v>
      </c>
      <c r="EY3" t="s">
        <v>173</v>
      </c>
      <c r="FF3" t="s">
        <v>173</v>
      </c>
      <c r="FM3" t="s">
        <v>173</v>
      </c>
      <c r="FT3" t="s">
        <v>173</v>
      </c>
      <c r="GA3" t="s">
        <v>173</v>
      </c>
      <c r="GH3" t="s">
        <v>173</v>
      </c>
      <c r="GO3" t="s">
        <v>173</v>
      </c>
      <c r="GV3" t="s">
        <v>173</v>
      </c>
      <c r="HC3" t="s">
        <v>173</v>
      </c>
      <c r="HJ3" t="s">
        <v>173</v>
      </c>
      <c r="HQ3" t="s">
        <v>173</v>
      </c>
      <c r="HX3" t="s">
        <v>173</v>
      </c>
      <c r="IE3" t="s">
        <v>173</v>
      </c>
      <c r="IL3" t="s">
        <v>173</v>
      </c>
      <c r="IS3" t="s">
        <v>173</v>
      </c>
      <c r="IZ3" t="s">
        <v>173</v>
      </c>
      <c r="JG3" t="s">
        <v>173</v>
      </c>
      <c r="JN3" t="s">
        <v>173</v>
      </c>
      <c r="JU3" t="s">
        <v>173</v>
      </c>
      <c r="KB3" t="s">
        <v>173</v>
      </c>
      <c r="KI3" t="s">
        <v>173</v>
      </c>
      <c r="KP3" t="s">
        <v>173</v>
      </c>
      <c r="KW3" t="s">
        <v>173</v>
      </c>
      <c r="LD3" t="s">
        <v>173</v>
      </c>
      <c r="LK3" t="s">
        <v>173</v>
      </c>
      <c r="LR3" t="s">
        <v>173</v>
      </c>
      <c r="LY3" t="s">
        <v>173</v>
      </c>
      <c r="MF3" t="s">
        <v>173</v>
      </c>
      <c r="MM3" t="s">
        <v>173</v>
      </c>
      <c r="MT3" t="s">
        <v>173</v>
      </c>
      <c r="NA3" t="s">
        <v>173</v>
      </c>
      <c r="NH3" t="s">
        <v>173</v>
      </c>
      <c r="NO3" t="s">
        <v>173</v>
      </c>
      <c r="NV3" t="s">
        <v>173</v>
      </c>
      <c r="OC3" t="s">
        <v>173</v>
      </c>
      <c r="OJ3" t="s">
        <v>173</v>
      </c>
      <c r="OQ3" t="s">
        <v>173</v>
      </c>
    </row>
    <row r="4" spans="1:408">
      <c r="B4" t="s">
        <v>172</v>
      </c>
      <c r="I4" t="s">
        <v>172</v>
      </c>
      <c r="P4" t="s">
        <v>172</v>
      </c>
      <c r="W4" t="s">
        <v>172</v>
      </c>
      <c r="AD4" t="s">
        <v>172</v>
      </c>
      <c r="AK4" t="s">
        <v>172</v>
      </c>
      <c r="AR4" t="s">
        <v>172</v>
      </c>
      <c r="AY4" t="s">
        <v>172</v>
      </c>
      <c r="BF4" t="s">
        <v>172</v>
      </c>
      <c r="BM4" t="s">
        <v>172</v>
      </c>
      <c r="BT4" t="s">
        <v>172</v>
      </c>
      <c r="CA4" t="s">
        <v>172</v>
      </c>
      <c r="CH4" t="s">
        <v>172</v>
      </c>
      <c r="CO4" t="s">
        <v>172</v>
      </c>
      <c r="CV4" t="s">
        <v>172</v>
      </c>
      <c r="DC4" t="s">
        <v>172</v>
      </c>
      <c r="DJ4" t="s">
        <v>172</v>
      </c>
      <c r="DQ4" t="s">
        <v>172</v>
      </c>
      <c r="DX4" t="s">
        <v>172</v>
      </c>
      <c r="EE4" t="s">
        <v>172</v>
      </c>
      <c r="EL4" t="s">
        <v>172</v>
      </c>
      <c r="ES4" t="s">
        <v>172</v>
      </c>
      <c r="EZ4" t="s">
        <v>172</v>
      </c>
      <c r="FG4" t="s">
        <v>172</v>
      </c>
      <c r="FN4" t="s">
        <v>172</v>
      </c>
      <c r="FU4" t="s">
        <v>172</v>
      </c>
      <c r="GB4" t="s">
        <v>172</v>
      </c>
      <c r="GI4" t="s">
        <v>172</v>
      </c>
      <c r="GP4" t="s">
        <v>172</v>
      </c>
      <c r="GW4" t="s">
        <v>172</v>
      </c>
      <c r="HD4" t="s">
        <v>172</v>
      </c>
      <c r="HK4" t="s">
        <v>172</v>
      </c>
      <c r="HR4" t="s">
        <v>172</v>
      </c>
      <c r="HY4" t="s">
        <v>172</v>
      </c>
      <c r="IF4" t="s">
        <v>172</v>
      </c>
      <c r="IM4" t="s">
        <v>172</v>
      </c>
      <c r="IT4" t="s">
        <v>172</v>
      </c>
      <c r="JA4" t="s">
        <v>172</v>
      </c>
      <c r="JH4" t="s">
        <v>172</v>
      </c>
      <c r="JO4" t="s">
        <v>172</v>
      </c>
      <c r="JV4" t="s">
        <v>172</v>
      </c>
      <c r="KC4" t="s">
        <v>172</v>
      </c>
      <c r="KJ4" t="s">
        <v>172</v>
      </c>
      <c r="KQ4" t="s">
        <v>172</v>
      </c>
      <c r="KX4" t="s">
        <v>172</v>
      </c>
      <c r="LE4" t="s">
        <v>172</v>
      </c>
      <c r="LL4" t="s">
        <v>172</v>
      </c>
      <c r="LS4" t="s">
        <v>172</v>
      </c>
      <c r="LZ4" t="s">
        <v>172</v>
      </c>
      <c r="MG4" t="s">
        <v>172</v>
      </c>
      <c r="MN4" t="s">
        <v>172</v>
      </c>
      <c r="MU4" t="s">
        <v>172</v>
      </c>
      <c r="NB4" t="s">
        <v>172</v>
      </c>
      <c r="NI4" t="s">
        <v>172</v>
      </c>
      <c r="NP4" t="s">
        <v>172</v>
      </c>
      <c r="NW4" t="s">
        <v>172</v>
      </c>
      <c r="OD4" t="s">
        <v>172</v>
      </c>
      <c r="OK4" t="s">
        <v>172</v>
      </c>
      <c r="OR4" t="s">
        <v>172</v>
      </c>
    </row>
    <row r="5" spans="1:408">
      <c r="A5" t="s">
        <v>145</v>
      </c>
      <c r="B5">
        <v>1545</v>
      </c>
      <c r="H5" t="s">
        <v>146</v>
      </c>
      <c r="I5">
        <v>5</v>
      </c>
      <c r="O5" t="s">
        <v>146</v>
      </c>
      <c r="P5">
        <v>76</v>
      </c>
      <c r="V5" t="s">
        <v>145</v>
      </c>
      <c r="W5">
        <v>12108</v>
      </c>
      <c r="AC5" t="s">
        <v>146</v>
      </c>
      <c r="AD5">
        <v>99</v>
      </c>
      <c r="AJ5" t="s">
        <v>1050</v>
      </c>
      <c r="AK5">
        <v>0</v>
      </c>
      <c r="AQ5" t="s">
        <v>146</v>
      </c>
      <c r="AR5">
        <v>28070</v>
      </c>
      <c r="AX5" t="s">
        <v>146</v>
      </c>
      <c r="AY5">
        <v>75094</v>
      </c>
      <c r="BE5" t="s">
        <v>146</v>
      </c>
      <c r="BF5">
        <v>4205</v>
      </c>
      <c r="BL5" t="s">
        <v>146</v>
      </c>
      <c r="BM5">
        <v>2218</v>
      </c>
      <c r="BS5" t="s">
        <v>1050</v>
      </c>
      <c r="BT5">
        <v>0</v>
      </c>
      <c r="BZ5" t="s">
        <v>1050</v>
      </c>
      <c r="CA5">
        <v>0</v>
      </c>
      <c r="CG5" t="s">
        <v>146</v>
      </c>
      <c r="CH5">
        <v>4911</v>
      </c>
      <c r="CN5" t="s">
        <v>146</v>
      </c>
      <c r="CO5">
        <v>466</v>
      </c>
      <c r="CU5" t="s">
        <v>146</v>
      </c>
      <c r="CV5">
        <v>2051</v>
      </c>
      <c r="DB5" t="s">
        <v>146</v>
      </c>
      <c r="DC5">
        <v>567</v>
      </c>
      <c r="DI5" t="s">
        <v>1050</v>
      </c>
      <c r="DJ5">
        <v>0</v>
      </c>
      <c r="DP5" t="s">
        <v>146</v>
      </c>
      <c r="DQ5">
        <v>1025</v>
      </c>
      <c r="DW5" t="s">
        <v>145</v>
      </c>
      <c r="DX5">
        <v>5061</v>
      </c>
      <c r="ED5" t="s">
        <v>146</v>
      </c>
      <c r="EE5">
        <v>8138</v>
      </c>
      <c r="EK5" t="s">
        <v>1050</v>
      </c>
      <c r="EL5">
        <v>0</v>
      </c>
      <c r="ER5" t="s">
        <v>146</v>
      </c>
      <c r="ES5">
        <v>126</v>
      </c>
      <c r="EY5" t="s">
        <v>146</v>
      </c>
      <c r="EZ5">
        <v>1460</v>
      </c>
      <c r="FF5" t="s">
        <v>146</v>
      </c>
      <c r="FG5">
        <v>273</v>
      </c>
      <c r="FM5" t="s">
        <v>1050</v>
      </c>
      <c r="FN5">
        <v>0</v>
      </c>
      <c r="FT5" t="s">
        <v>146</v>
      </c>
      <c r="FU5">
        <v>21587</v>
      </c>
      <c r="GA5" t="s">
        <v>146</v>
      </c>
      <c r="GB5">
        <v>610</v>
      </c>
      <c r="GH5" t="s">
        <v>146</v>
      </c>
      <c r="GI5">
        <v>21899</v>
      </c>
      <c r="GO5" t="s">
        <v>145</v>
      </c>
      <c r="GP5">
        <v>3171</v>
      </c>
      <c r="GV5" t="s">
        <v>146</v>
      </c>
      <c r="GW5">
        <v>159</v>
      </c>
      <c r="HC5" t="s">
        <v>146</v>
      </c>
      <c r="HD5">
        <v>2856</v>
      </c>
      <c r="HJ5" t="s">
        <v>1050</v>
      </c>
      <c r="HK5">
        <v>0</v>
      </c>
      <c r="HQ5" t="s">
        <v>146</v>
      </c>
      <c r="HR5">
        <v>16122</v>
      </c>
      <c r="HX5" t="s">
        <v>145</v>
      </c>
      <c r="HY5">
        <v>6585</v>
      </c>
      <c r="IE5" t="s">
        <v>146</v>
      </c>
      <c r="IF5">
        <v>1351</v>
      </c>
      <c r="IL5" t="s">
        <v>145</v>
      </c>
      <c r="IM5">
        <v>4046</v>
      </c>
      <c r="IS5" t="s">
        <v>145</v>
      </c>
      <c r="IT5">
        <v>3123</v>
      </c>
      <c r="IZ5" t="s">
        <v>146</v>
      </c>
      <c r="JA5">
        <v>46038</v>
      </c>
      <c r="JG5" t="s">
        <v>146</v>
      </c>
      <c r="JH5">
        <v>1786</v>
      </c>
      <c r="JN5" t="s">
        <v>146</v>
      </c>
      <c r="JO5">
        <v>2959</v>
      </c>
      <c r="JU5" t="s">
        <v>146</v>
      </c>
      <c r="JV5">
        <v>28070</v>
      </c>
      <c r="KB5" t="s">
        <v>146</v>
      </c>
      <c r="KC5">
        <v>6159</v>
      </c>
      <c r="KI5" t="s">
        <v>146</v>
      </c>
      <c r="KJ5">
        <v>2445</v>
      </c>
      <c r="KP5" t="s">
        <v>145</v>
      </c>
      <c r="KQ5">
        <v>13974</v>
      </c>
      <c r="KW5" t="s">
        <v>1050</v>
      </c>
      <c r="KX5">
        <v>0</v>
      </c>
      <c r="LD5" t="s">
        <v>146</v>
      </c>
      <c r="LE5">
        <v>5008</v>
      </c>
      <c r="LK5" t="s">
        <v>145</v>
      </c>
      <c r="LL5">
        <v>12071</v>
      </c>
      <c r="LR5" t="s">
        <v>146</v>
      </c>
      <c r="LS5">
        <v>312</v>
      </c>
      <c r="LY5" t="s">
        <v>146</v>
      </c>
      <c r="LZ5">
        <v>1692</v>
      </c>
      <c r="MF5" t="s">
        <v>1050</v>
      </c>
      <c r="MG5">
        <v>0</v>
      </c>
      <c r="MM5" t="s">
        <v>1050</v>
      </c>
      <c r="MN5">
        <v>0</v>
      </c>
      <c r="MT5" t="s">
        <v>145</v>
      </c>
      <c r="MU5">
        <v>8289</v>
      </c>
      <c r="NA5" t="s">
        <v>146</v>
      </c>
      <c r="NB5">
        <v>1030</v>
      </c>
      <c r="NH5" t="s">
        <v>1050</v>
      </c>
      <c r="NI5">
        <v>0</v>
      </c>
      <c r="NO5" t="s">
        <v>1050</v>
      </c>
      <c r="NP5">
        <v>0</v>
      </c>
      <c r="NV5" t="s">
        <v>146</v>
      </c>
      <c r="NW5">
        <v>5585</v>
      </c>
      <c r="OC5" t="s">
        <v>146</v>
      </c>
      <c r="OD5">
        <v>22168</v>
      </c>
      <c r="OJ5" t="s">
        <v>145</v>
      </c>
      <c r="OK5">
        <v>7175</v>
      </c>
      <c r="OQ5" t="s">
        <v>1050</v>
      </c>
      <c r="OR5">
        <v>0</v>
      </c>
    </row>
    <row r="6" spans="1:408">
      <c r="A6" t="s">
        <v>491</v>
      </c>
      <c r="B6">
        <v>1545</v>
      </c>
      <c r="H6" t="s">
        <v>1301</v>
      </c>
      <c r="I6">
        <v>5</v>
      </c>
      <c r="O6" t="s">
        <v>1301</v>
      </c>
      <c r="P6">
        <v>13</v>
      </c>
      <c r="V6" t="s">
        <v>1301</v>
      </c>
      <c r="W6">
        <v>1517</v>
      </c>
      <c r="AC6" t="s">
        <v>1301</v>
      </c>
      <c r="AD6">
        <v>14</v>
      </c>
      <c r="AJ6" t="s">
        <v>1053</v>
      </c>
      <c r="AK6">
        <v>0</v>
      </c>
      <c r="AQ6" t="s">
        <v>482</v>
      </c>
      <c r="AR6">
        <v>6168</v>
      </c>
      <c r="AX6" t="s">
        <v>484</v>
      </c>
      <c r="AY6">
        <v>8299</v>
      </c>
      <c r="BE6" t="s">
        <v>1302</v>
      </c>
      <c r="BF6">
        <v>1562</v>
      </c>
      <c r="BL6" t="s">
        <v>482</v>
      </c>
      <c r="BM6">
        <v>2065</v>
      </c>
      <c r="BS6" t="s">
        <v>1053</v>
      </c>
      <c r="BT6">
        <v>0</v>
      </c>
      <c r="BZ6" t="s">
        <v>1053</v>
      </c>
      <c r="CA6">
        <v>0</v>
      </c>
      <c r="CG6" t="s">
        <v>482</v>
      </c>
      <c r="CH6">
        <v>2066</v>
      </c>
      <c r="CN6" t="s">
        <v>485</v>
      </c>
      <c r="CO6">
        <v>181</v>
      </c>
      <c r="CU6" t="s">
        <v>1301</v>
      </c>
      <c r="CV6">
        <v>295</v>
      </c>
      <c r="DB6" t="s">
        <v>1301</v>
      </c>
      <c r="DC6">
        <v>92</v>
      </c>
      <c r="DI6" t="s">
        <v>1053</v>
      </c>
      <c r="DJ6">
        <v>0</v>
      </c>
      <c r="DP6" t="s">
        <v>1301</v>
      </c>
      <c r="DQ6">
        <v>297</v>
      </c>
      <c r="DW6" t="s">
        <v>480</v>
      </c>
      <c r="DX6">
        <v>1686</v>
      </c>
      <c r="ED6" t="s">
        <v>484</v>
      </c>
      <c r="EE6">
        <v>2067</v>
      </c>
      <c r="EK6" t="s">
        <v>1053</v>
      </c>
      <c r="EL6">
        <v>0</v>
      </c>
      <c r="ER6" t="s">
        <v>1301</v>
      </c>
      <c r="ES6">
        <v>126</v>
      </c>
      <c r="EY6" t="s">
        <v>1301</v>
      </c>
      <c r="EZ6">
        <v>127</v>
      </c>
      <c r="FF6" t="s">
        <v>480</v>
      </c>
      <c r="FG6">
        <v>273</v>
      </c>
      <c r="FM6" t="s">
        <v>1053</v>
      </c>
      <c r="FN6">
        <v>0</v>
      </c>
      <c r="FT6" t="s">
        <v>482</v>
      </c>
      <c r="FU6">
        <v>10412</v>
      </c>
      <c r="GA6" t="s">
        <v>488</v>
      </c>
      <c r="GB6">
        <v>153</v>
      </c>
      <c r="GH6" t="s">
        <v>484</v>
      </c>
      <c r="GI6">
        <v>2071</v>
      </c>
      <c r="GO6" t="s">
        <v>489</v>
      </c>
      <c r="GP6">
        <v>1150</v>
      </c>
      <c r="GV6" t="s">
        <v>1301</v>
      </c>
      <c r="GW6">
        <v>159</v>
      </c>
      <c r="HC6" t="s">
        <v>1301</v>
      </c>
      <c r="HD6">
        <v>321</v>
      </c>
      <c r="HJ6" t="s">
        <v>1053</v>
      </c>
      <c r="HK6">
        <v>0</v>
      </c>
      <c r="HQ6" t="s">
        <v>484</v>
      </c>
      <c r="HR6">
        <v>2075</v>
      </c>
      <c r="HX6" t="s">
        <v>489</v>
      </c>
      <c r="HY6">
        <v>2914</v>
      </c>
      <c r="IE6" t="s">
        <v>1301</v>
      </c>
      <c r="IF6">
        <v>190</v>
      </c>
      <c r="IL6" t="s">
        <v>488</v>
      </c>
      <c r="IM6">
        <v>815</v>
      </c>
      <c r="IS6" t="s">
        <v>1301</v>
      </c>
      <c r="IT6">
        <v>2083</v>
      </c>
      <c r="IZ6" t="s">
        <v>484</v>
      </c>
      <c r="JA6">
        <v>4187</v>
      </c>
      <c r="JG6" t="s">
        <v>1302</v>
      </c>
      <c r="JH6">
        <v>1573</v>
      </c>
      <c r="JN6" t="s">
        <v>1302</v>
      </c>
      <c r="JO6">
        <v>305</v>
      </c>
      <c r="JU6" t="s">
        <v>386</v>
      </c>
      <c r="JV6">
        <v>7122</v>
      </c>
      <c r="KB6" t="s">
        <v>386</v>
      </c>
      <c r="KC6">
        <v>1778</v>
      </c>
      <c r="KI6" t="s">
        <v>1301</v>
      </c>
      <c r="KJ6">
        <v>240</v>
      </c>
      <c r="KP6" t="s">
        <v>485</v>
      </c>
      <c r="KQ6">
        <v>3822</v>
      </c>
      <c r="KW6" t="s">
        <v>1053</v>
      </c>
      <c r="KX6">
        <v>0</v>
      </c>
      <c r="LD6" t="s">
        <v>387</v>
      </c>
      <c r="LE6">
        <v>1915</v>
      </c>
      <c r="LK6" t="s">
        <v>1301</v>
      </c>
      <c r="LL6">
        <v>947</v>
      </c>
      <c r="LR6" t="s">
        <v>486</v>
      </c>
      <c r="LS6">
        <v>312</v>
      </c>
      <c r="LY6" t="s">
        <v>1301</v>
      </c>
      <c r="LZ6">
        <v>678</v>
      </c>
      <c r="MF6" t="s">
        <v>1053</v>
      </c>
      <c r="MG6">
        <v>0</v>
      </c>
      <c r="MM6" t="s">
        <v>1053</v>
      </c>
      <c r="MN6">
        <v>0</v>
      </c>
      <c r="MT6" t="s">
        <v>1301</v>
      </c>
      <c r="MU6">
        <v>925</v>
      </c>
      <c r="NA6" t="s">
        <v>480</v>
      </c>
      <c r="NB6">
        <v>513</v>
      </c>
      <c r="NH6" t="s">
        <v>1053</v>
      </c>
      <c r="NI6">
        <v>0</v>
      </c>
      <c r="NO6" t="s">
        <v>1053</v>
      </c>
      <c r="NP6">
        <v>0</v>
      </c>
      <c r="NV6" t="s">
        <v>1302</v>
      </c>
      <c r="NW6">
        <v>1580</v>
      </c>
      <c r="OC6" t="s">
        <v>484</v>
      </c>
      <c r="OD6">
        <v>8332</v>
      </c>
      <c r="OJ6" t="s">
        <v>1301</v>
      </c>
      <c r="OK6">
        <v>1028</v>
      </c>
      <c r="OQ6" t="s">
        <v>1053</v>
      </c>
      <c r="OR6">
        <v>0</v>
      </c>
    </row>
    <row r="7" spans="1:408">
      <c r="A7" t="s">
        <v>953</v>
      </c>
      <c r="B7">
        <v>1545</v>
      </c>
      <c r="H7" t="s">
        <v>1486</v>
      </c>
      <c r="I7">
        <v>5</v>
      </c>
      <c r="O7" t="s">
        <v>797</v>
      </c>
      <c r="P7">
        <v>6</v>
      </c>
      <c r="V7" t="s">
        <v>1484</v>
      </c>
      <c r="W7">
        <v>1517</v>
      </c>
      <c r="AC7" t="s">
        <v>557</v>
      </c>
      <c r="AD7">
        <v>14</v>
      </c>
      <c r="AJ7" t="s">
        <v>1050</v>
      </c>
      <c r="AK7">
        <v>0</v>
      </c>
      <c r="AQ7" t="s">
        <v>1067</v>
      </c>
      <c r="AR7">
        <v>2056</v>
      </c>
      <c r="AX7" t="s">
        <v>1566</v>
      </c>
      <c r="AY7">
        <v>2086</v>
      </c>
      <c r="BE7" t="s">
        <v>621</v>
      </c>
      <c r="BF7">
        <v>1562</v>
      </c>
      <c r="BL7" t="s">
        <v>1512</v>
      </c>
      <c r="BM7">
        <v>2065</v>
      </c>
      <c r="BS7" t="s">
        <v>1050</v>
      </c>
      <c r="BT7">
        <v>0</v>
      </c>
      <c r="BZ7" t="s">
        <v>1050</v>
      </c>
      <c r="CA7">
        <v>0</v>
      </c>
      <c r="CG7" t="s">
        <v>1098</v>
      </c>
      <c r="CH7">
        <v>2066</v>
      </c>
      <c r="CN7" t="s">
        <v>442</v>
      </c>
      <c r="CO7">
        <v>91</v>
      </c>
      <c r="CU7" t="s">
        <v>1148</v>
      </c>
      <c r="CV7">
        <v>295</v>
      </c>
      <c r="DB7" t="s">
        <v>644</v>
      </c>
      <c r="DC7">
        <v>92</v>
      </c>
      <c r="DI7" t="s">
        <v>1050</v>
      </c>
      <c r="DJ7">
        <v>0</v>
      </c>
      <c r="DP7" t="s">
        <v>581</v>
      </c>
      <c r="DQ7">
        <v>98</v>
      </c>
      <c r="DW7" t="s">
        <v>1265</v>
      </c>
      <c r="DX7">
        <v>845</v>
      </c>
      <c r="ED7" t="s">
        <v>1358</v>
      </c>
      <c r="EE7">
        <v>2067</v>
      </c>
      <c r="EK7" t="s">
        <v>1050</v>
      </c>
      <c r="EL7">
        <v>0</v>
      </c>
      <c r="ER7" t="s">
        <v>596</v>
      </c>
      <c r="ES7">
        <v>126</v>
      </c>
      <c r="EY7" t="s">
        <v>816</v>
      </c>
      <c r="EZ7">
        <v>127</v>
      </c>
      <c r="FF7" t="s">
        <v>1124</v>
      </c>
      <c r="FG7">
        <v>136</v>
      </c>
      <c r="FM7" t="s">
        <v>1050</v>
      </c>
      <c r="FN7">
        <v>0</v>
      </c>
      <c r="FT7" t="s">
        <v>1548</v>
      </c>
      <c r="FU7">
        <v>2090</v>
      </c>
      <c r="GA7" t="s">
        <v>1304</v>
      </c>
      <c r="GB7">
        <v>153</v>
      </c>
      <c r="GH7" t="s">
        <v>1444</v>
      </c>
      <c r="GI7">
        <v>2071</v>
      </c>
      <c r="GO7" t="s">
        <v>422</v>
      </c>
      <c r="GP7">
        <v>1150</v>
      </c>
      <c r="GV7" t="s">
        <v>752</v>
      </c>
      <c r="GW7">
        <v>159</v>
      </c>
      <c r="HC7" t="s">
        <v>606</v>
      </c>
      <c r="HD7">
        <v>161</v>
      </c>
      <c r="HJ7" t="s">
        <v>1050</v>
      </c>
      <c r="HK7">
        <v>0</v>
      </c>
      <c r="HQ7" t="s">
        <v>1091</v>
      </c>
      <c r="HR7">
        <v>2075</v>
      </c>
      <c r="HX7" t="s">
        <v>1001</v>
      </c>
      <c r="HY7">
        <v>1065</v>
      </c>
      <c r="IE7" t="s">
        <v>858</v>
      </c>
      <c r="IF7">
        <v>190</v>
      </c>
      <c r="IL7" t="s">
        <v>281</v>
      </c>
      <c r="IM7">
        <v>815</v>
      </c>
      <c r="IS7" t="s">
        <v>1169</v>
      </c>
      <c r="IT7">
        <v>1042</v>
      </c>
      <c r="IZ7" t="s">
        <v>1420</v>
      </c>
      <c r="JA7">
        <v>2094</v>
      </c>
      <c r="JG7" t="s">
        <v>1538</v>
      </c>
      <c r="JH7">
        <v>1573</v>
      </c>
      <c r="JN7" t="s">
        <v>1487</v>
      </c>
      <c r="JO7">
        <v>305</v>
      </c>
      <c r="JU7" t="s">
        <v>1332</v>
      </c>
      <c r="JV7">
        <v>1784</v>
      </c>
      <c r="KB7" t="s">
        <v>1225</v>
      </c>
      <c r="KC7">
        <v>1778</v>
      </c>
      <c r="KI7" t="s">
        <v>753</v>
      </c>
      <c r="KJ7">
        <v>240</v>
      </c>
      <c r="KP7" t="s">
        <v>718</v>
      </c>
      <c r="KQ7">
        <v>955</v>
      </c>
      <c r="KW7" t="s">
        <v>1050</v>
      </c>
      <c r="KX7">
        <v>0</v>
      </c>
      <c r="LD7" t="s">
        <v>541</v>
      </c>
      <c r="LE7">
        <v>1915</v>
      </c>
      <c r="LK7" t="s">
        <v>400</v>
      </c>
      <c r="LL7">
        <v>947</v>
      </c>
      <c r="LR7" t="s">
        <v>1618</v>
      </c>
      <c r="LS7">
        <v>312</v>
      </c>
      <c r="LY7" t="s">
        <v>1183</v>
      </c>
      <c r="LZ7">
        <v>250</v>
      </c>
      <c r="MF7" t="s">
        <v>1050</v>
      </c>
      <c r="MG7">
        <v>0</v>
      </c>
      <c r="MM7" t="s">
        <v>1050</v>
      </c>
      <c r="MN7">
        <v>0</v>
      </c>
      <c r="MT7" t="s">
        <v>1228</v>
      </c>
      <c r="MU7">
        <v>925</v>
      </c>
      <c r="NA7" t="s">
        <v>310</v>
      </c>
      <c r="NB7">
        <v>256</v>
      </c>
      <c r="NH7" t="s">
        <v>1050</v>
      </c>
      <c r="NI7">
        <v>0</v>
      </c>
      <c r="NO7" t="s">
        <v>1050</v>
      </c>
      <c r="NP7">
        <v>0</v>
      </c>
      <c r="NV7" t="s">
        <v>676</v>
      </c>
      <c r="NW7">
        <v>1580</v>
      </c>
      <c r="OC7" t="s">
        <v>1638</v>
      </c>
      <c r="OD7">
        <v>2098</v>
      </c>
      <c r="OJ7" t="s">
        <v>1647</v>
      </c>
      <c r="OK7">
        <v>1028</v>
      </c>
      <c r="OQ7" t="s">
        <v>1050</v>
      </c>
      <c r="OR7">
        <v>0</v>
      </c>
    </row>
    <row r="8" spans="1:408">
      <c r="A8" t="s">
        <v>1400</v>
      </c>
      <c r="B8">
        <v>1545</v>
      </c>
      <c r="H8" t="s">
        <v>145</v>
      </c>
      <c r="I8">
        <v>15395</v>
      </c>
      <c r="O8" t="s">
        <v>790</v>
      </c>
      <c r="P8">
        <v>7</v>
      </c>
      <c r="V8" t="s">
        <v>485</v>
      </c>
      <c r="W8">
        <v>4545</v>
      </c>
      <c r="AC8" t="s">
        <v>485</v>
      </c>
      <c r="AD8">
        <v>31</v>
      </c>
      <c r="AJ8">
        <v>0</v>
      </c>
      <c r="AK8">
        <v>0</v>
      </c>
      <c r="AQ8" t="s">
        <v>1193</v>
      </c>
      <c r="AR8">
        <v>2055</v>
      </c>
      <c r="AX8" t="s">
        <v>1563</v>
      </c>
      <c r="AY8">
        <v>2058</v>
      </c>
      <c r="BE8" t="s">
        <v>388</v>
      </c>
      <c r="BF8">
        <v>1563</v>
      </c>
      <c r="BL8" t="s">
        <v>1301</v>
      </c>
      <c r="BM8">
        <v>76</v>
      </c>
      <c r="BS8">
        <v>0</v>
      </c>
      <c r="BT8">
        <v>0</v>
      </c>
      <c r="BZ8">
        <v>0</v>
      </c>
      <c r="CA8">
        <v>0</v>
      </c>
      <c r="CG8" t="s">
        <v>1302</v>
      </c>
      <c r="CH8">
        <v>1564</v>
      </c>
      <c r="CN8" t="s">
        <v>1604</v>
      </c>
      <c r="CO8">
        <v>90</v>
      </c>
      <c r="CU8" t="s">
        <v>480</v>
      </c>
      <c r="CV8">
        <v>878</v>
      </c>
      <c r="DB8" t="s">
        <v>483</v>
      </c>
      <c r="DC8">
        <v>93</v>
      </c>
      <c r="DI8">
        <v>0</v>
      </c>
      <c r="DJ8">
        <v>0</v>
      </c>
      <c r="DP8" t="s">
        <v>428</v>
      </c>
      <c r="DQ8">
        <v>99</v>
      </c>
      <c r="DW8" t="s">
        <v>1456</v>
      </c>
      <c r="DX8">
        <v>841</v>
      </c>
      <c r="ED8" t="s">
        <v>482</v>
      </c>
      <c r="EE8">
        <v>2068</v>
      </c>
      <c r="EK8">
        <v>0</v>
      </c>
      <c r="EL8">
        <v>0</v>
      </c>
      <c r="ER8" t="s">
        <v>145</v>
      </c>
      <c r="ES8">
        <v>5709</v>
      </c>
      <c r="EY8" t="s">
        <v>485</v>
      </c>
      <c r="EZ8">
        <v>519</v>
      </c>
      <c r="FF8" t="s">
        <v>822</v>
      </c>
      <c r="FG8">
        <v>137</v>
      </c>
      <c r="FM8">
        <v>0</v>
      </c>
      <c r="FN8">
        <v>0</v>
      </c>
      <c r="FT8" t="s">
        <v>1085</v>
      </c>
      <c r="FU8">
        <v>2069</v>
      </c>
      <c r="GA8" t="s">
        <v>486</v>
      </c>
      <c r="GB8">
        <v>154</v>
      </c>
      <c r="GH8" t="s">
        <v>482</v>
      </c>
      <c r="GI8">
        <v>8306</v>
      </c>
      <c r="GO8" t="s">
        <v>487</v>
      </c>
      <c r="GP8">
        <v>1149</v>
      </c>
      <c r="GV8" t="s">
        <v>145</v>
      </c>
      <c r="GW8">
        <v>12573</v>
      </c>
      <c r="HC8" t="s">
        <v>1407</v>
      </c>
      <c r="HD8">
        <v>160</v>
      </c>
      <c r="HJ8">
        <v>0</v>
      </c>
      <c r="HK8">
        <v>0</v>
      </c>
      <c r="HQ8" t="s">
        <v>482</v>
      </c>
      <c r="HR8">
        <v>8310</v>
      </c>
      <c r="HX8" t="s">
        <v>274</v>
      </c>
      <c r="HY8">
        <v>1066</v>
      </c>
      <c r="IE8" t="s">
        <v>485</v>
      </c>
      <c r="IF8">
        <v>191</v>
      </c>
      <c r="IL8" t="s">
        <v>486</v>
      </c>
      <c r="IM8">
        <v>816</v>
      </c>
      <c r="IS8" t="s">
        <v>1476</v>
      </c>
      <c r="IT8">
        <v>1041</v>
      </c>
      <c r="IZ8" t="s">
        <v>1425</v>
      </c>
      <c r="JA8">
        <v>2093</v>
      </c>
      <c r="JG8" t="s">
        <v>480</v>
      </c>
      <c r="JH8">
        <v>213</v>
      </c>
      <c r="JN8" t="s">
        <v>388</v>
      </c>
      <c r="JO8">
        <v>1574</v>
      </c>
      <c r="JU8" t="s">
        <v>1257</v>
      </c>
      <c r="JV8">
        <v>1777</v>
      </c>
      <c r="KB8" t="s">
        <v>1302</v>
      </c>
      <c r="KC8">
        <v>1579</v>
      </c>
      <c r="KI8" t="s">
        <v>480</v>
      </c>
      <c r="KJ8">
        <v>970</v>
      </c>
      <c r="KP8" t="s">
        <v>700</v>
      </c>
      <c r="KQ8">
        <v>957</v>
      </c>
      <c r="KW8">
        <v>0</v>
      </c>
      <c r="KX8">
        <v>0</v>
      </c>
      <c r="LD8" t="s">
        <v>388</v>
      </c>
      <c r="LE8">
        <v>1588</v>
      </c>
      <c r="LK8" t="s">
        <v>485</v>
      </c>
      <c r="LL8">
        <v>946</v>
      </c>
      <c r="LR8" t="s">
        <v>145</v>
      </c>
      <c r="LS8">
        <v>6172</v>
      </c>
      <c r="LY8" t="s">
        <v>1347</v>
      </c>
      <c r="LZ8">
        <v>177</v>
      </c>
      <c r="MF8">
        <v>0</v>
      </c>
      <c r="MG8">
        <v>0</v>
      </c>
      <c r="MM8">
        <v>0</v>
      </c>
      <c r="MN8">
        <v>0</v>
      </c>
      <c r="MT8" t="s">
        <v>485</v>
      </c>
      <c r="MU8">
        <v>924</v>
      </c>
      <c r="NA8" t="s">
        <v>163</v>
      </c>
      <c r="NB8">
        <v>257</v>
      </c>
      <c r="NH8">
        <v>0</v>
      </c>
      <c r="NI8">
        <v>0</v>
      </c>
      <c r="NO8">
        <v>0</v>
      </c>
      <c r="NP8">
        <v>0</v>
      </c>
      <c r="NV8" t="s">
        <v>1301</v>
      </c>
      <c r="NW8">
        <v>783</v>
      </c>
      <c r="OC8" t="s">
        <v>1636</v>
      </c>
      <c r="OD8">
        <v>2088</v>
      </c>
      <c r="OJ8" t="s">
        <v>485</v>
      </c>
      <c r="OK8">
        <v>2053</v>
      </c>
      <c r="OQ8">
        <v>0</v>
      </c>
      <c r="OR8">
        <v>0</v>
      </c>
    </row>
    <row r="9" spans="1:408">
      <c r="H9" t="s">
        <v>1301</v>
      </c>
      <c r="I9">
        <v>1544</v>
      </c>
      <c r="O9" t="s">
        <v>485</v>
      </c>
      <c r="P9">
        <v>27</v>
      </c>
      <c r="V9" t="s">
        <v>1141</v>
      </c>
      <c r="W9">
        <v>1514</v>
      </c>
      <c r="AC9" t="s">
        <v>391</v>
      </c>
      <c r="AD9">
        <v>15</v>
      </c>
      <c r="AJ9" t="s">
        <v>1606</v>
      </c>
      <c r="AK9">
        <v>0</v>
      </c>
      <c r="AQ9" t="s">
        <v>1251</v>
      </c>
      <c r="AR9">
        <v>2057</v>
      </c>
      <c r="AX9" t="s">
        <v>976</v>
      </c>
      <c r="AY9">
        <v>2059</v>
      </c>
      <c r="BE9" t="s">
        <v>815</v>
      </c>
      <c r="BF9">
        <v>1563</v>
      </c>
      <c r="BL9" t="s">
        <v>1109</v>
      </c>
      <c r="BM9">
        <v>76</v>
      </c>
      <c r="BS9" t="s">
        <v>1606</v>
      </c>
      <c r="BT9">
        <v>0</v>
      </c>
      <c r="BZ9" t="s">
        <v>1606</v>
      </c>
      <c r="CA9">
        <v>0</v>
      </c>
      <c r="CG9" t="s">
        <v>1096</v>
      </c>
      <c r="CH9">
        <v>1564</v>
      </c>
      <c r="CN9" t="s">
        <v>480</v>
      </c>
      <c r="CO9">
        <v>285</v>
      </c>
      <c r="CU9" t="s">
        <v>617</v>
      </c>
      <c r="CV9">
        <v>291</v>
      </c>
      <c r="DB9" t="s">
        <v>854</v>
      </c>
      <c r="DC9">
        <v>93</v>
      </c>
      <c r="DI9" t="s">
        <v>1606</v>
      </c>
      <c r="DJ9">
        <v>0</v>
      </c>
      <c r="DP9" t="s">
        <v>441</v>
      </c>
      <c r="DQ9">
        <v>100</v>
      </c>
      <c r="DW9" t="s">
        <v>488</v>
      </c>
      <c r="DX9">
        <v>2533</v>
      </c>
      <c r="ED9" t="s">
        <v>928</v>
      </c>
      <c r="EE9">
        <v>2068</v>
      </c>
      <c r="EK9" t="s">
        <v>1606</v>
      </c>
      <c r="EL9">
        <v>0</v>
      </c>
      <c r="ER9" t="s">
        <v>387</v>
      </c>
      <c r="ES9">
        <v>2043</v>
      </c>
      <c r="EY9" t="s">
        <v>1389</v>
      </c>
      <c r="EZ9">
        <v>130</v>
      </c>
      <c r="FF9" t="s">
        <v>145</v>
      </c>
      <c r="FG9">
        <v>12973</v>
      </c>
      <c r="FM9" t="s">
        <v>1606</v>
      </c>
      <c r="FN9">
        <v>0</v>
      </c>
      <c r="FT9" t="s">
        <v>1546</v>
      </c>
      <c r="FU9">
        <v>2092</v>
      </c>
      <c r="GA9" t="s">
        <v>1305</v>
      </c>
      <c r="GB9">
        <v>154</v>
      </c>
      <c r="GH9" t="s">
        <v>1202</v>
      </c>
      <c r="GI9">
        <v>2072</v>
      </c>
      <c r="GO9" t="s">
        <v>247</v>
      </c>
      <c r="GP9">
        <v>1149</v>
      </c>
      <c r="GV9" t="s">
        <v>1301</v>
      </c>
      <c r="GW9">
        <v>1148</v>
      </c>
      <c r="HC9" t="s">
        <v>480</v>
      </c>
      <c r="HD9">
        <v>1494</v>
      </c>
      <c r="HJ9" t="s">
        <v>1606</v>
      </c>
      <c r="HK9">
        <v>0</v>
      </c>
      <c r="HQ9" t="s">
        <v>1063</v>
      </c>
      <c r="HR9">
        <v>2076</v>
      </c>
      <c r="HX9" t="s">
        <v>1531</v>
      </c>
      <c r="HY9">
        <v>783</v>
      </c>
      <c r="IE9" t="s">
        <v>444</v>
      </c>
      <c r="IF9">
        <v>191</v>
      </c>
      <c r="IL9" t="s">
        <v>277</v>
      </c>
      <c r="IM9">
        <v>816</v>
      </c>
      <c r="IS9" t="s">
        <v>485</v>
      </c>
      <c r="IT9">
        <v>1040</v>
      </c>
      <c r="IZ9" t="s">
        <v>482</v>
      </c>
      <c r="JA9">
        <v>12499</v>
      </c>
      <c r="JG9" t="s">
        <v>958</v>
      </c>
      <c r="JH9">
        <v>213</v>
      </c>
      <c r="JN9" t="s">
        <v>677</v>
      </c>
      <c r="JO9">
        <v>1574</v>
      </c>
      <c r="JU9" t="s">
        <v>1608</v>
      </c>
      <c r="JV9">
        <v>1785</v>
      </c>
      <c r="KB9" t="s">
        <v>1226</v>
      </c>
      <c r="KC9">
        <v>1579</v>
      </c>
      <c r="KI9" t="s">
        <v>1369</v>
      </c>
      <c r="KJ9">
        <v>241</v>
      </c>
      <c r="KP9" t="s">
        <v>1255</v>
      </c>
      <c r="KQ9">
        <v>956</v>
      </c>
      <c r="KW9" t="s">
        <v>1606</v>
      </c>
      <c r="KX9">
        <v>0</v>
      </c>
      <c r="LD9" t="s">
        <v>286</v>
      </c>
      <c r="LE9">
        <v>1588</v>
      </c>
      <c r="LK9" t="s">
        <v>300</v>
      </c>
      <c r="LL9">
        <v>946</v>
      </c>
      <c r="LR9" t="s">
        <v>1301</v>
      </c>
      <c r="LS9">
        <v>769</v>
      </c>
      <c r="LY9" t="s">
        <v>915</v>
      </c>
      <c r="LZ9">
        <v>251</v>
      </c>
      <c r="MF9" t="s">
        <v>1606</v>
      </c>
      <c r="MG9">
        <v>0</v>
      </c>
      <c r="MM9" t="s">
        <v>1606</v>
      </c>
      <c r="MN9">
        <v>0</v>
      </c>
      <c r="MT9" t="s">
        <v>1233</v>
      </c>
      <c r="MU9">
        <v>924</v>
      </c>
      <c r="NA9" t="s">
        <v>488</v>
      </c>
      <c r="NB9">
        <v>258</v>
      </c>
      <c r="NH9" t="s">
        <v>1606</v>
      </c>
      <c r="NI9">
        <v>0</v>
      </c>
      <c r="NO9" t="s">
        <v>1606</v>
      </c>
      <c r="NP9">
        <v>0</v>
      </c>
      <c r="NV9" t="s">
        <v>252</v>
      </c>
      <c r="NW9">
        <v>260</v>
      </c>
      <c r="OC9" t="s">
        <v>1637</v>
      </c>
      <c r="OD9">
        <v>2095</v>
      </c>
      <c r="OJ9" t="s">
        <v>1650</v>
      </c>
      <c r="OK9">
        <v>1027</v>
      </c>
      <c r="OQ9" t="s">
        <v>1606</v>
      </c>
      <c r="OR9">
        <v>0</v>
      </c>
    </row>
    <row r="10" spans="1:408">
      <c r="H10" t="s">
        <v>1303</v>
      </c>
      <c r="I10">
        <v>1544</v>
      </c>
      <c r="O10" t="s">
        <v>805</v>
      </c>
      <c r="P10">
        <v>9</v>
      </c>
      <c r="V10" t="s">
        <v>1040</v>
      </c>
      <c r="W10">
        <v>1516</v>
      </c>
      <c r="AC10" t="s">
        <v>1031</v>
      </c>
      <c r="AD10">
        <v>16</v>
      </c>
      <c r="AJ10" t="s">
        <v>1050</v>
      </c>
      <c r="AK10">
        <v>0</v>
      </c>
      <c r="AQ10" t="s">
        <v>387</v>
      </c>
      <c r="AR10">
        <v>5723</v>
      </c>
      <c r="AX10" t="s">
        <v>1211</v>
      </c>
      <c r="AY10">
        <v>2096</v>
      </c>
      <c r="BE10" t="s">
        <v>1301</v>
      </c>
      <c r="BF10">
        <v>183</v>
      </c>
      <c r="BL10" t="s">
        <v>480</v>
      </c>
      <c r="BM10">
        <v>77</v>
      </c>
      <c r="BS10" t="s">
        <v>1050</v>
      </c>
      <c r="BT10">
        <v>0</v>
      </c>
      <c r="BZ10" t="s">
        <v>1050</v>
      </c>
      <c r="CA10">
        <v>0</v>
      </c>
      <c r="CG10" t="s">
        <v>1301</v>
      </c>
      <c r="CH10">
        <v>157</v>
      </c>
      <c r="CN10" t="s">
        <v>205</v>
      </c>
      <c r="CO10">
        <v>285</v>
      </c>
      <c r="CU10" t="s">
        <v>619</v>
      </c>
      <c r="CV10">
        <v>293</v>
      </c>
      <c r="DB10" t="s">
        <v>488</v>
      </c>
      <c r="DC10">
        <v>189</v>
      </c>
      <c r="DI10" t="s">
        <v>1050</v>
      </c>
      <c r="DJ10">
        <v>0</v>
      </c>
      <c r="DP10" t="s">
        <v>485</v>
      </c>
      <c r="DQ10">
        <v>306</v>
      </c>
      <c r="DW10" t="s">
        <v>611</v>
      </c>
      <c r="DX10">
        <v>844</v>
      </c>
      <c r="ED10" t="s">
        <v>387</v>
      </c>
      <c r="EE10">
        <v>1906</v>
      </c>
      <c r="EK10" t="s">
        <v>1050</v>
      </c>
      <c r="EL10">
        <v>0</v>
      </c>
      <c r="ER10" t="s">
        <v>1235</v>
      </c>
      <c r="ES10">
        <v>2043</v>
      </c>
      <c r="EY10" t="s">
        <v>1049</v>
      </c>
      <c r="EZ10">
        <v>129</v>
      </c>
      <c r="FF10" t="s">
        <v>484</v>
      </c>
      <c r="FG10">
        <v>2236</v>
      </c>
      <c r="FM10" t="s">
        <v>1050</v>
      </c>
      <c r="FN10">
        <v>0</v>
      </c>
      <c r="FT10" t="s">
        <v>1086</v>
      </c>
      <c r="FU10">
        <v>2070</v>
      </c>
      <c r="GA10" t="s">
        <v>1301</v>
      </c>
      <c r="GB10">
        <v>303</v>
      </c>
      <c r="GH10" t="s">
        <v>879</v>
      </c>
      <c r="GI10">
        <v>2087</v>
      </c>
      <c r="GO10" t="s">
        <v>490</v>
      </c>
      <c r="GP10">
        <v>872</v>
      </c>
      <c r="GV10" t="s">
        <v>434</v>
      </c>
      <c r="GW10">
        <v>1148</v>
      </c>
      <c r="HC10" t="s">
        <v>610</v>
      </c>
      <c r="HD10">
        <v>168</v>
      </c>
      <c r="HJ10" t="s">
        <v>1050</v>
      </c>
      <c r="HK10">
        <v>0</v>
      </c>
      <c r="HQ10" t="s">
        <v>723</v>
      </c>
      <c r="HR10">
        <v>2077</v>
      </c>
      <c r="HX10" t="s">
        <v>487</v>
      </c>
      <c r="HY10">
        <v>1064</v>
      </c>
      <c r="IE10" t="s">
        <v>480</v>
      </c>
      <c r="IF10">
        <v>192</v>
      </c>
      <c r="IL10" t="s">
        <v>487</v>
      </c>
      <c r="IM10">
        <v>804</v>
      </c>
      <c r="IS10" t="s">
        <v>760</v>
      </c>
      <c r="IT10">
        <v>1040</v>
      </c>
      <c r="IZ10" t="s">
        <v>1047</v>
      </c>
      <c r="JA10">
        <v>2080</v>
      </c>
      <c r="JG10" t="s">
        <v>145</v>
      </c>
      <c r="JH10">
        <v>4078</v>
      </c>
      <c r="JN10" t="s">
        <v>1301</v>
      </c>
      <c r="JO10">
        <v>214</v>
      </c>
      <c r="JU10" t="s">
        <v>547</v>
      </c>
      <c r="JV10">
        <v>1776</v>
      </c>
      <c r="KB10" t="s">
        <v>1301</v>
      </c>
      <c r="KC10">
        <v>457</v>
      </c>
      <c r="KI10" t="s">
        <v>1491</v>
      </c>
      <c r="KJ10">
        <v>243</v>
      </c>
      <c r="KP10" t="s">
        <v>719</v>
      </c>
      <c r="KQ10">
        <v>954</v>
      </c>
      <c r="KW10" t="s">
        <v>1050</v>
      </c>
      <c r="KX10">
        <v>0</v>
      </c>
      <c r="LD10" t="s">
        <v>1301</v>
      </c>
      <c r="LE10">
        <v>301</v>
      </c>
      <c r="LK10" t="s">
        <v>480</v>
      </c>
      <c r="LL10">
        <v>1889</v>
      </c>
      <c r="LR10" t="s">
        <v>1625</v>
      </c>
      <c r="LS10">
        <v>769</v>
      </c>
      <c r="LY10" t="s">
        <v>485</v>
      </c>
      <c r="LZ10">
        <v>252</v>
      </c>
      <c r="MF10" t="s">
        <v>1050</v>
      </c>
      <c r="MG10">
        <v>0</v>
      </c>
      <c r="MM10" t="s">
        <v>1050</v>
      </c>
      <c r="MN10">
        <v>0</v>
      </c>
      <c r="MT10" t="s">
        <v>480</v>
      </c>
      <c r="MU10">
        <v>2766</v>
      </c>
      <c r="NA10" t="s">
        <v>430</v>
      </c>
      <c r="NB10">
        <v>258</v>
      </c>
      <c r="NH10" t="s">
        <v>1050</v>
      </c>
      <c r="NI10">
        <v>0</v>
      </c>
      <c r="NO10" t="s">
        <v>1050</v>
      </c>
      <c r="NP10">
        <v>0</v>
      </c>
      <c r="NV10" t="s">
        <v>1119</v>
      </c>
      <c r="NW10">
        <v>262</v>
      </c>
      <c r="OC10" t="s">
        <v>1633</v>
      </c>
      <c r="OD10">
        <v>2051</v>
      </c>
      <c r="OJ10" t="s">
        <v>1652</v>
      </c>
      <c r="OK10">
        <v>1026</v>
      </c>
      <c r="OQ10" t="s">
        <v>1050</v>
      </c>
      <c r="OR10">
        <v>0</v>
      </c>
    </row>
    <row r="11" spans="1:408">
      <c r="H11" t="s">
        <v>485</v>
      </c>
      <c r="I11">
        <v>1543</v>
      </c>
      <c r="O11" t="s">
        <v>758</v>
      </c>
      <c r="P11">
        <v>10</v>
      </c>
      <c r="V11" t="s">
        <v>1485</v>
      </c>
      <c r="W11">
        <v>1515</v>
      </c>
      <c r="AC11" t="s">
        <v>480</v>
      </c>
      <c r="AD11">
        <v>35</v>
      </c>
      <c r="AJ11" t="s">
        <v>1400</v>
      </c>
      <c r="AK11">
        <v>0</v>
      </c>
      <c r="AQ11" t="s">
        <v>936</v>
      </c>
      <c r="AR11">
        <v>1910</v>
      </c>
      <c r="AX11" t="s">
        <v>482</v>
      </c>
      <c r="AY11">
        <v>16592</v>
      </c>
      <c r="BE11" t="s">
        <v>941</v>
      </c>
      <c r="BF11">
        <v>62</v>
      </c>
      <c r="BL11" t="s">
        <v>896</v>
      </c>
      <c r="BM11">
        <v>77</v>
      </c>
      <c r="BS11" t="s">
        <v>1400</v>
      </c>
      <c r="BT11">
        <v>0</v>
      </c>
      <c r="BZ11" t="s">
        <v>1400</v>
      </c>
      <c r="CA11">
        <v>0</v>
      </c>
      <c r="CG11" t="s">
        <v>179</v>
      </c>
      <c r="CH11">
        <v>79</v>
      </c>
      <c r="CN11" t="s">
        <v>145</v>
      </c>
      <c r="CO11">
        <v>20610</v>
      </c>
      <c r="CU11" t="s">
        <v>242</v>
      </c>
      <c r="CV11">
        <v>294</v>
      </c>
      <c r="DB11" t="s">
        <v>642</v>
      </c>
      <c r="DC11">
        <v>94</v>
      </c>
      <c r="DI11" t="s">
        <v>1400</v>
      </c>
      <c r="DJ11">
        <v>0</v>
      </c>
      <c r="DP11" t="s">
        <v>180</v>
      </c>
      <c r="DQ11">
        <v>101</v>
      </c>
      <c r="DW11" t="s">
        <v>500</v>
      </c>
      <c r="DX11">
        <v>843</v>
      </c>
      <c r="ED11" t="s">
        <v>1002</v>
      </c>
      <c r="EE11">
        <v>1906</v>
      </c>
      <c r="EK11" t="s">
        <v>1400</v>
      </c>
      <c r="EL11">
        <v>0</v>
      </c>
      <c r="ER11" t="s">
        <v>480</v>
      </c>
      <c r="ES11">
        <v>2444</v>
      </c>
      <c r="EY11" t="s">
        <v>234</v>
      </c>
      <c r="EZ11">
        <v>128</v>
      </c>
      <c r="FF11" t="s">
        <v>1125</v>
      </c>
      <c r="FG11">
        <v>2236</v>
      </c>
      <c r="FM11" t="s">
        <v>1400</v>
      </c>
      <c r="FN11">
        <v>0</v>
      </c>
      <c r="FT11" t="s">
        <v>1547</v>
      </c>
      <c r="FU11">
        <v>2091</v>
      </c>
      <c r="GA11" t="s">
        <v>1453</v>
      </c>
      <c r="GB11">
        <v>151</v>
      </c>
      <c r="GH11" t="s">
        <v>1445</v>
      </c>
      <c r="GI11">
        <v>2073</v>
      </c>
      <c r="GO11" t="s">
        <v>215</v>
      </c>
      <c r="GP11">
        <v>872</v>
      </c>
      <c r="GV11" t="s">
        <v>480</v>
      </c>
      <c r="GW11">
        <v>5720</v>
      </c>
      <c r="HC11" t="s">
        <v>1398</v>
      </c>
      <c r="HD11">
        <v>162</v>
      </c>
      <c r="HJ11" t="s">
        <v>1400</v>
      </c>
      <c r="HK11">
        <v>0</v>
      </c>
      <c r="HQ11" t="s">
        <v>1582</v>
      </c>
      <c r="HR11">
        <v>2079</v>
      </c>
      <c r="HX11" t="s">
        <v>275</v>
      </c>
      <c r="HY11">
        <v>1064</v>
      </c>
      <c r="IE11" t="s">
        <v>1386</v>
      </c>
      <c r="IF11">
        <v>192</v>
      </c>
      <c r="IL11" t="s">
        <v>280</v>
      </c>
      <c r="IM11">
        <v>804</v>
      </c>
      <c r="IS11" t="s">
        <v>1400</v>
      </c>
      <c r="IT11">
        <v>3123</v>
      </c>
      <c r="IZ11" t="s">
        <v>1421</v>
      </c>
      <c r="JA11">
        <v>2089</v>
      </c>
      <c r="JG11" t="s">
        <v>485</v>
      </c>
      <c r="JH11">
        <v>3060</v>
      </c>
      <c r="JN11" t="s">
        <v>672</v>
      </c>
      <c r="JO11">
        <v>214</v>
      </c>
      <c r="JU11" t="s">
        <v>1302</v>
      </c>
      <c r="JV11">
        <v>11088</v>
      </c>
      <c r="KB11" t="s">
        <v>1524</v>
      </c>
      <c r="KC11">
        <v>229</v>
      </c>
      <c r="KI11" t="s">
        <v>1489</v>
      </c>
      <c r="KJ11">
        <v>242</v>
      </c>
      <c r="KP11" t="s">
        <v>480</v>
      </c>
      <c r="KQ11">
        <v>952</v>
      </c>
      <c r="KW11" t="s">
        <v>1400</v>
      </c>
      <c r="KX11">
        <v>0</v>
      </c>
      <c r="LD11" t="s">
        <v>544</v>
      </c>
      <c r="LE11">
        <v>301</v>
      </c>
      <c r="LK11" t="s">
        <v>294</v>
      </c>
      <c r="LL11">
        <v>945</v>
      </c>
      <c r="LR11" t="s">
        <v>485</v>
      </c>
      <c r="LS11">
        <v>768</v>
      </c>
      <c r="LY11" t="s">
        <v>777</v>
      </c>
      <c r="LZ11">
        <v>252</v>
      </c>
      <c r="MF11" t="s">
        <v>1400</v>
      </c>
      <c r="MG11">
        <v>0</v>
      </c>
      <c r="MM11" t="s">
        <v>1400</v>
      </c>
      <c r="MN11">
        <v>0</v>
      </c>
      <c r="MT11" t="s">
        <v>1234</v>
      </c>
      <c r="MU11">
        <v>922</v>
      </c>
      <c r="NA11" t="s">
        <v>489</v>
      </c>
      <c r="NB11">
        <v>259</v>
      </c>
      <c r="NH11" t="s">
        <v>1400</v>
      </c>
      <c r="NI11">
        <v>0</v>
      </c>
      <c r="NO11" t="s">
        <v>1400</v>
      </c>
      <c r="NP11">
        <v>0</v>
      </c>
      <c r="NV11" t="s">
        <v>735</v>
      </c>
      <c r="NW11">
        <v>261</v>
      </c>
      <c r="OC11" t="s">
        <v>482</v>
      </c>
      <c r="OD11">
        <v>8258</v>
      </c>
      <c r="OJ11" t="s">
        <v>480</v>
      </c>
      <c r="OK11">
        <v>3072</v>
      </c>
      <c r="OQ11" t="s">
        <v>1400</v>
      </c>
      <c r="OR11">
        <v>0</v>
      </c>
    </row>
    <row r="12" spans="1:408">
      <c r="H12" t="s">
        <v>814</v>
      </c>
      <c r="I12">
        <v>1543</v>
      </c>
      <c r="O12" t="s">
        <v>713</v>
      </c>
      <c r="P12">
        <v>8</v>
      </c>
      <c r="V12" t="s">
        <v>480</v>
      </c>
      <c r="W12">
        <v>1512</v>
      </c>
      <c r="AC12" t="s">
        <v>285</v>
      </c>
      <c r="AD12">
        <v>18</v>
      </c>
      <c r="AQ12" t="s">
        <v>1080</v>
      </c>
      <c r="AR12">
        <v>1911</v>
      </c>
      <c r="AX12" t="s">
        <v>1564</v>
      </c>
      <c r="AY12">
        <v>2064</v>
      </c>
      <c r="BE12" t="s">
        <v>1256</v>
      </c>
      <c r="BF12">
        <v>61</v>
      </c>
      <c r="BL12" t="s">
        <v>145</v>
      </c>
      <c r="BM12">
        <v>10089</v>
      </c>
      <c r="CG12" t="s">
        <v>1300</v>
      </c>
      <c r="CH12">
        <v>78</v>
      </c>
      <c r="CN12" t="s">
        <v>1301</v>
      </c>
      <c r="CO12">
        <v>2159</v>
      </c>
      <c r="CU12" t="s">
        <v>488</v>
      </c>
      <c r="CV12">
        <v>296</v>
      </c>
      <c r="DB12" t="s">
        <v>1145</v>
      </c>
      <c r="DC12">
        <v>95</v>
      </c>
      <c r="DP12" t="s">
        <v>1501</v>
      </c>
      <c r="DQ12">
        <v>103</v>
      </c>
      <c r="DW12" t="s">
        <v>499</v>
      </c>
      <c r="DX12">
        <v>846</v>
      </c>
      <c r="ED12" t="s">
        <v>1301</v>
      </c>
      <c r="EE12">
        <v>550</v>
      </c>
      <c r="ER12" t="s">
        <v>502</v>
      </c>
      <c r="ES12">
        <v>1223</v>
      </c>
      <c r="EY12" t="s">
        <v>1440</v>
      </c>
      <c r="EZ12">
        <v>132</v>
      </c>
      <c r="FF12" t="s">
        <v>1301</v>
      </c>
      <c r="FG12">
        <v>2393</v>
      </c>
      <c r="FT12" t="s">
        <v>387</v>
      </c>
      <c r="FU12">
        <v>5739</v>
      </c>
      <c r="GA12" t="s">
        <v>1454</v>
      </c>
      <c r="GB12">
        <v>152</v>
      </c>
      <c r="GH12" t="s">
        <v>1446</v>
      </c>
      <c r="GI12">
        <v>2074</v>
      </c>
      <c r="GO12" t="s">
        <v>1400</v>
      </c>
      <c r="GP12">
        <v>3171</v>
      </c>
      <c r="GV12" t="s">
        <v>572</v>
      </c>
      <c r="GW12">
        <v>1146</v>
      </c>
      <c r="HC12" t="s">
        <v>1345</v>
      </c>
      <c r="HD12">
        <v>163</v>
      </c>
      <c r="HQ12" t="s">
        <v>1043</v>
      </c>
      <c r="HR12">
        <v>2078</v>
      </c>
      <c r="HX12" t="s">
        <v>490</v>
      </c>
      <c r="HY12">
        <v>1739</v>
      </c>
      <c r="IE12" t="s">
        <v>488</v>
      </c>
      <c r="IF12">
        <v>193</v>
      </c>
      <c r="IL12" t="s">
        <v>491</v>
      </c>
      <c r="IM12">
        <v>1611</v>
      </c>
      <c r="IZ12" t="s">
        <v>834</v>
      </c>
      <c r="JA12">
        <v>2081</v>
      </c>
      <c r="JG12" t="s">
        <v>1309</v>
      </c>
      <c r="JH12">
        <v>1021</v>
      </c>
      <c r="JN12" t="s">
        <v>480</v>
      </c>
      <c r="JO12">
        <v>431</v>
      </c>
      <c r="JU12" t="s">
        <v>1317</v>
      </c>
      <c r="JV12">
        <v>1587</v>
      </c>
      <c r="KB12" t="s">
        <v>1523</v>
      </c>
      <c r="KC12">
        <v>228</v>
      </c>
      <c r="KI12" t="s">
        <v>1492</v>
      </c>
      <c r="KJ12">
        <v>244</v>
      </c>
      <c r="KP12" t="s">
        <v>714</v>
      </c>
      <c r="KQ12">
        <v>952</v>
      </c>
      <c r="LD12" t="s">
        <v>485</v>
      </c>
      <c r="LE12">
        <v>302</v>
      </c>
      <c r="LK12" t="s">
        <v>298</v>
      </c>
      <c r="LL12">
        <v>944</v>
      </c>
      <c r="LR12" t="s">
        <v>1626</v>
      </c>
      <c r="LS12">
        <v>768</v>
      </c>
      <c r="LY12" t="s">
        <v>480</v>
      </c>
      <c r="LZ12">
        <v>507</v>
      </c>
      <c r="MT12" t="s">
        <v>1231</v>
      </c>
      <c r="MU12">
        <v>923</v>
      </c>
      <c r="NA12" t="s">
        <v>311</v>
      </c>
      <c r="NB12">
        <v>259</v>
      </c>
      <c r="NV12" t="s">
        <v>485</v>
      </c>
      <c r="NW12">
        <v>1058</v>
      </c>
      <c r="OC12" t="s">
        <v>1628</v>
      </c>
      <c r="OD12">
        <v>2052</v>
      </c>
      <c r="OJ12" t="s">
        <v>1649</v>
      </c>
      <c r="OK12">
        <v>1025</v>
      </c>
    </row>
    <row r="13" spans="1:408">
      <c r="H13" t="s">
        <v>480</v>
      </c>
      <c r="I13">
        <v>3083</v>
      </c>
      <c r="O13" t="s">
        <v>488</v>
      </c>
      <c r="P13">
        <v>23</v>
      </c>
      <c r="V13" t="s">
        <v>1038</v>
      </c>
      <c r="W13">
        <v>1512</v>
      </c>
      <c r="AC13" t="s">
        <v>397</v>
      </c>
      <c r="AD13">
        <v>17</v>
      </c>
      <c r="AQ13" t="s">
        <v>1250</v>
      </c>
      <c r="AR13">
        <v>1902</v>
      </c>
      <c r="AX13" t="s">
        <v>1068</v>
      </c>
      <c r="AY13">
        <v>2063</v>
      </c>
      <c r="BE13" t="s">
        <v>942</v>
      </c>
      <c r="BF13">
        <v>60</v>
      </c>
      <c r="BL13" t="s">
        <v>386</v>
      </c>
      <c r="BM13">
        <v>1896</v>
      </c>
      <c r="CG13" t="s">
        <v>483</v>
      </c>
      <c r="CH13">
        <v>80</v>
      </c>
      <c r="CN13" t="s">
        <v>1143</v>
      </c>
      <c r="CO13">
        <v>1334</v>
      </c>
      <c r="CU13" t="s">
        <v>241</v>
      </c>
      <c r="CV13">
        <v>296</v>
      </c>
      <c r="DB13" t="s">
        <v>486</v>
      </c>
      <c r="DC13">
        <v>96</v>
      </c>
      <c r="DP13" t="s">
        <v>1500</v>
      </c>
      <c r="DQ13">
        <v>102</v>
      </c>
      <c r="DW13" t="s">
        <v>489</v>
      </c>
      <c r="DX13">
        <v>842</v>
      </c>
      <c r="ED13" t="s">
        <v>448</v>
      </c>
      <c r="EE13">
        <v>112</v>
      </c>
      <c r="ER13" t="s">
        <v>504</v>
      </c>
      <c r="ES13">
        <v>1221</v>
      </c>
      <c r="EY13" t="s">
        <v>480</v>
      </c>
      <c r="EZ13">
        <v>533</v>
      </c>
      <c r="FF13" t="s">
        <v>1529</v>
      </c>
      <c r="FG13">
        <v>1197</v>
      </c>
      <c r="FT13" t="s">
        <v>1120</v>
      </c>
      <c r="FU13">
        <v>1914</v>
      </c>
      <c r="GA13" t="s">
        <v>145</v>
      </c>
      <c r="GB13">
        <v>5523</v>
      </c>
      <c r="GH13" t="s">
        <v>387</v>
      </c>
      <c r="GI13">
        <v>5724</v>
      </c>
      <c r="GV13" t="s">
        <v>635</v>
      </c>
      <c r="GW13">
        <v>1142</v>
      </c>
      <c r="HC13" t="s">
        <v>1286</v>
      </c>
      <c r="HD13">
        <v>164</v>
      </c>
      <c r="HQ13" t="s">
        <v>386</v>
      </c>
      <c r="HR13">
        <v>3535</v>
      </c>
      <c r="HX13" t="s">
        <v>875</v>
      </c>
      <c r="HY13">
        <v>870</v>
      </c>
      <c r="IE13" t="s">
        <v>607</v>
      </c>
      <c r="IF13">
        <v>193</v>
      </c>
      <c r="IL13" t="s">
        <v>278</v>
      </c>
      <c r="IM13">
        <v>805</v>
      </c>
      <c r="IZ13" t="s">
        <v>1426</v>
      </c>
      <c r="JA13">
        <v>2083</v>
      </c>
      <c r="JG13" t="s">
        <v>1388</v>
      </c>
      <c r="JH13">
        <v>1020</v>
      </c>
      <c r="JN13" t="s">
        <v>673</v>
      </c>
      <c r="JO13">
        <v>216</v>
      </c>
      <c r="JU13" t="s">
        <v>103</v>
      </c>
      <c r="JV13">
        <v>1591</v>
      </c>
      <c r="KB13" t="s">
        <v>485</v>
      </c>
      <c r="KC13">
        <v>461</v>
      </c>
      <c r="KI13" t="s">
        <v>488</v>
      </c>
      <c r="KJ13">
        <v>245</v>
      </c>
      <c r="KP13" t="s">
        <v>488</v>
      </c>
      <c r="KQ13">
        <v>1904</v>
      </c>
      <c r="LD13" t="s">
        <v>989</v>
      </c>
      <c r="LE13">
        <v>302</v>
      </c>
      <c r="LK13" t="s">
        <v>488</v>
      </c>
      <c r="LL13">
        <v>943</v>
      </c>
      <c r="LR13" t="s">
        <v>486</v>
      </c>
      <c r="LS13">
        <v>1547</v>
      </c>
      <c r="LY13" t="s">
        <v>306</v>
      </c>
      <c r="LZ13">
        <v>253</v>
      </c>
      <c r="MT13" t="s">
        <v>1415</v>
      </c>
      <c r="MU13">
        <v>921</v>
      </c>
      <c r="NA13" t="s">
        <v>145</v>
      </c>
      <c r="NB13">
        <v>5436</v>
      </c>
      <c r="NV13" t="s">
        <v>1264</v>
      </c>
      <c r="NW13">
        <v>266</v>
      </c>
      <c r="OC13" t="s">
        <v>1629</v>
      </c>
      <c r="OD13">
        <v>2053</v>
      </c>
      <c r="OJ13" t="s">
        <v>1653</v>
      </c>
      <c r="OK13">
        <v>1023</v>
      </c>
    </row>
    <row r="14" spans="1:408">
      <c r="H14" t="s">
        <v>985</v>
      </c>
      <c r="I14">
        <v>1541</v>
      </c>
      <c r="O14" t="s">
        <v>864</v>
      </c>
      <c r="P14">
        <v>12</v>
      </c>
      <c r="V14" t="s">
        <v>488</v>
      </c>
      <c r="W14">
        <v>3024</v>
      </c>
      <c r="AC14" t="s">
        <v>486</v>
      </c>
      <c r="AD14">
        <v>19</v>
      </c>
      <c r="AQ14" t="s">
        <v>386</v>
      </c>
      <c r="AR14">
        <v>5416</v>
      </c>
      <c r="AX14" t="s">
        <v>1612</v>
      </c>
      <c r="AY14">
        <v>2100</v>
      </c>
      <c r="BE14" t="s">
        <v>485</v>
      </c>
      <c r="BF14">
        <v>63</v>
      </c>
      <c r="BL14" t="s">
        <v>1110</v>
      </c>
      <c r="BM14">
        <v>1896</v>
      </c>
      <c r="CG14" t="s">
        <v>1097</v>
      </c>
      <c r="CH14">
        <v>80</v>
      </c>
      <c r="CN14" t="s">
        <v>1605</v>
      </c>
      <c r="CO14">
        <v>825</v>
      </c>
      <c r="CU14" t="s">
        <v>486</v>
      </c>
      <c r="CV14">
        <v>582</v>
      </c>
      <c r="DB14" t="s">
        <v>217</v>
      </c>
      <c r="DC14">
        <v>96</v>
      </c>
      <c r="DP14" t="s">
        <v>480</v>
      </c>
      <c r="DQ14">
        <v>104</v>
      </c>
      <c r="DW14" t="s">
        <v>612</v>
      </c>
      <c r="DX14">
        <v>842</v>
      </c>
      <c r="ED14" t="s">
        <v>733</v>
      </c>
      <c r="EE14">
        <v>111</v>
      </c>
      <c r="ER14" t="s">
        <v>488</v>
      </c>
      <c r="ES14">
        <v>1222</v>
      </c>
      <c r="EY14" t="s">
        <v>1439</v>
      </c>
      <c r="EZ14">
        <v>133</v>
      </c>
      <c r="FF14" t="s">
        <v>1530</v>
      </c>
      <c r="FG14">
        <v>1196</v>
      </c>
      <c r="FT14" t="s">
        <v>1315</v>
      </c>
      <c r="FU14">
        <v>1912</v>
      </c>
      <c r="GA14" t="s">
        <v>488</v>
      </c>
      <c r="GB14">
        <v>2327</v>
      </c>
      <c r="GH14" t="s">
        <v>880</v>
      </c>
      <c r="GI14">
        <v>1909</v>
      </c>
      <c r="GV14" t="s">
        <v>139</v>
      </c>
      <c r="GW14">
        <v>1143</v>
      </c>
      <c r="HC14" t="s">
        <v>931</v>
      </c>
      <c r="HD14">
        <v>170</v>
      </c>
      <c r="HQ14" t="s">
        <v>1064</v>
      </c>
      <c r="HR14">
        <v>1768</v>
      </c>
      <c r="HX14" t="s">
        <v>577</v>
      </c>
      <c r="HY14">
        <v>869</v>
      </c>
      <c r="IE14" t="s">
        <v>486</v>
      </c>
      <c r="IF14">
        <v>194</v>
      </c>
      <c r="IL14" t="s">
        <v>279</v>
      </c>
      <c r="IM14">
        <v>806</v>
      </c>
      <c r="IZ14" t="s">
        <v>1427</v>
      </c>
      <c r="JA14">
        <v>2084</v>
      </c>
      <c r="JG14" t="s">
        <v>1387</v>
      </c>
      <c r="JH14">
        <v>1019</v>
      </c>
      <c r="JN14" t="s">
        <v>678</v>
      </c>
      <c r="JO14">
        <v>215</v>
      </c>
      <c r="JU14" t="s">
        <v>949</v>
      </c>
      <c r="JV14">
        <v>1592</v>
      </c>
      <c r="KB14" t="s">
        <v>1221</v>
      </c>
      <c r="KC14">
        <v>231</v>
      </c>
      <c r="KI14" t="s">
        <v>1370</v>
      </c>
      <c r="KJ14">
        <v>245</v>
      </c>
      <c r="KP14" t="s">
        <v>715</v>
      </c>
      <c r="KQ14">
        <v>953</v>
      </c>
      <c r="LD14" t="s">
        <v>480</v>
      </c>
      <c r="LE14">
        <v>300</v>
      </c>
      <c r="LK14" t="s">
        <v>295</v>
      </c>
      <c r="LL14">
        <v>943</v>
      </c>
      <c r="LR14" t="s">
        <v>1621</v>
      </c>
      <c r="LS14">
        <v>773</v>
      </c>
      <c r="LY14" t="s">
        <v>1468</v>
      </c>
      <c r="LZ14">
        <v>254</v>
      </c>
      <c r="MT14" t="s">
        <v>486</v>
      </c>
      <c r="MU14">
        <v>1839</v>
      </c>
      <c r="NA14" t="s">
        <v>480</v>
      </c>
      <c r="NB14">
        <v>916</v>
      </c>
      <c r="NV14" t="s">
        <v>1054</v>
      </c>
      <c r="NW14">
        <v>263</v>
      </c>
      <c r="OC14" t="s">
        <v>1640</v>
      </c>
      <c r="OD14">
        <v>2099</v>
      </c>
      <c r="OJ14" t="s">
        <v>1648</v>
      </c>
      <c r="OK14">
        <v>1024</v>
      </c>
    </row>
    <row r="15" spans="1:408">
      <c r="H15" t="s">
        <v>812</v>
      </c>
      <c r="I15">
        <v>1542</v>
      </c>
      <c r="O15" t="s">
        <v>863</v>
      </c>
      <c r="P15">
        <v>11</v>
      </c>
      <c r="V15" t="s">
        <v>1041</v>
      </c>
      <c r="W15">
        <v>1513</v>
      </c>
      <c r="AC15" t="s">
        <v>162</v>
      </c>
      <c r="AD15">
        <v>19</v>
      </c>
      <c r="AQ15" t="s">
        <v>1270</v>
      </c>
      <c r="AR15">
        <v>1780</v>
      </c>
      <c r="AX15" t="s">
        <v>731</v>
      </c>
      <c r="AY15">
        <v>2060</v>
      </c>
      <c r="BE15" t="s">
        <v>535</v>
      </c>
      <c r="BF15">
        <v>63</v>
      </c>
      <c r="BL15" t="s">
        <v>483</v>
      </c>
      <c r="BM15">
        <v>1368</v>
      </c>
      <c r="CG15" t="s">
        <v>485</v>
      </c>
      <c r="CH15">
        <v>246</v>
      </c>
      <c r="CN15" t="s">
        <v>485</v>
      </c>
      <c r="CO15">
        <v>824</v>
      </c>
      <c r="CU15" t="s">
        <v>1147</v>
      </c>
      <c r="CV15">
        <v>290</v>
      </c>
      <c r="DB15" t="s">
        <v>487</v>
      </c>
      <c r="DC15">
        <v>97</v>
      </c>
      <c r="DP15" t="s">
        <v>1498</v>
      </c>
      <c r="DQ15">
        <v>104</v>
      </c>
      <c r="DW15" t="s">
        <v>1400</v>
      </c>
      <c r="DX15">
        <v>5061</v>
      </c>
      <c r="ED15" t="s">
        <v>1152</v>
      </c>
      <c r="EE15">
        <v>109</v>
      </c>
      <c r="ER15" t="s">
        <v>1557</v>
      </c>
      <c r="ES15">
        <v>1222</v>
      </c>
      <c r="EY15" t="s">
        <v>1112</v>
      </c>
      <c r="EZ15">
        <v>131</v>
      </c>
      <c r="FF15" t="s">
        <v>480</v>
      </c>
      <c r="FG15">
        <v>5965</v>
      </c>
      <c r="FT15" t="s">
        <v>1545</v>
      </c>
      <c r="FU15">
        <v>1913</v>
      </c>
      <c r="GA15" t="s">
        <v>1308</v>
      </c>
      <c r="GB15">
        <v>1163</v>
      </c>
      <c r="GH15" t="s">
        <v>741</v>
      </c>
      <c r="GI15">
        <v>1907</v>
      </c>
      <c r="GV15" t="s">
        <v>466</v>
      </c>
      <c r="GW15">
        <v>1145</v>
      </c>
      <c r="HC15" t="s">
        <v>1284</v>
      </c>
      <c r="HD15">
        <v>165</v>
      </c>
      <c r="HQ15" t="s">
        <v>795</v>
      </c>
      <c r="HR15">
        <v>1767</v>
      </c>
      <c r="HX15" t="s">
        <v>1607</v>
      </c>
      <c r="HY15">
        <v>868</v>
      </c>
      <c r="IE15" t="s">
        <v>705</v>
      </c>
      <c r="IF15">
        <v>194</v>
      </c>
      <c r="IL15" t="s">
        <v>1400</v>
      </c>
      <c r="IM15">
        <v>4046</v>
      </c>
      <c r="IZ15" t="s">
        <v>1428</v>
      </c>
      <c r="JA15">
        <v>2082</v>
      </c>
      <c r="JG15" t="s">
        <v>480</v>
      </c>
      <c r="JH15">
        <v>1018</v>
      </c>
      <c r="JN15" t="s">
        <v>488</v>
      </c>
      <c r="JO15">
        <v>217</v>
      </c>
      <c r="JU15" t="s">
        <v>449</v>
      </c>
      <c r="JV15">
        <v>1576</v>
      </c>
      <c r="KB15" t="s">
        <v>1224</v>
      </c>
      <c r="KC15">
        <v>230</v>
      </c>
      <c r="KI15" t="s">
        <v>486</v>
      </c>
      <c r="KJ15">
        <v>493</v>
      </c>
      <c r="KP15" t="s">
        <v>720</v>
      </c>
      <c r="KQ15">
        <v>951</v>
      </c>
      <c r="LD15" t="s">
        <v>283</v>
      </c>
      <c r="LE15">
        <v>300</v>
      </c>
      <c r="LK15" t="s">
        <v>486</v>
      </c>
      <c r="LL15">
        <v>942</v>
      </c>
      <c r="LR15" t="s">
        <v>1620</v>
      </c>
      <c r="LS15">
        <v>774</v>
      </c>
      <c r="LY15" t="s">
        <v>486</v>
      </c>
      <c r="LZ15">
        <v>255</v>
      </c>
      <c r="MT15" t="s">
        <v>1230</v>
      </c>
      <c r="MU15">
        <v>920</v>
      </c>
      <c r="NA15" t="s">
        <v>313</v>
      </c>
      <c r="NB15">
        <v>916</v>
      </c>
      <c r="NV15" t="s">
        <v>474</v>
      </c>
      <c r="NW15">
        <v>264</v>
      </c>
      <c r="OC15" t="s">
        <v>1634</v>
      </c>
      <c r="OD15">
        <v>2054</v>
      </c>
      <c r="OJ15" t="s">
        <v>488</v>
      </c>
      <c r="OK15">
        <v>1022</v>
      </c>
    </row>
    <row r="16" spans="1:408">
      <c r="H16" t="s">
        <v>488</v>
      </c>
      <c r="I16">
        <v>1540</v>
      </c>
      <c r="O16" t="s">
        <v>486</v>
      </c>
      <c r="P16">
        <v>13</v>
      </c>
      <c r="V16" t="s">
        <v>1039</v>
      </c>
      <c r="W16">
        <v>1511</v>
      </c>
      <c r="AC16" t="s">
        <v>145</v>
      </c>
      <c r="AD16">
        <v>13794</v>
      </c>
      <c r="AQ16" t="s">
        <v>1024</v>
      </c>
      <c r="AR16">
        <v>1752</v>
      </c>
      <c r="AX16" t="s">
        <v>977</v>
      </c>
      <c r="AY16">
        <v>2062</v>
      </c>
      <c r="BE16" t="s">
        <v>480</v>
      </c>
      <c r="BF16">
        <v>540</v>
      </c>
      <c r="BL16" t="s">
        <v>1087</v>
      </c>
      <c r="BM16">
        <v>1368</v>
      </c>
      <c r="CG16" t="s">
        <v>177</v>
      </c>
      <c r="CH16">
        <v>82</v>
      </c>
      <c r="CN16" t="s">
        <v>207</v>
      </c>
      <c r="CO16">
        <v>824</v>
      </c>
      <c r="CU16" t="s">
        <v>618</v>
      </c>
      <c r="CV16">
        <v>292</v>
      </c>
      <c r="DB16" t="s">
        <v>220</v>
      </c>
      <c r="DC16">
        <v>97</v>
      </c>
      <c r="DP16" t="s">
        <v>488</v>
      </c>
      <c r="DQ16">
        <v>318</v>
      </c>
      <c r="ED16" t="s">
        <v>782</v>
      </c>
      <c r="EE16">
        <v>110</v>
      </c>
      <c r="ER16" t="s">
        <v>1400</v>
      </c>
      <c r="ES16">
        <v>5835</v>
      </c>
      <c r="EY16" t="s">
        <v>568</v>
      </c>
      <c r="EZ16">
        <v>134</v>
      </c>
      <c r="FF16" t="s">
        <v>981</v>
      </c>
      <c r="FG16">
        <v>1195</v>
      </c>
      <c r="FT16" t="s">
        <v>386</v>
      </c>
      <c r="FU16">
        <v>3564</v>
      </c>
      <c r="GA16" t="s">
        <v>1306</v>
      </c>
      <c r="GB16">
        <v>1164</v>
      </c>
      <c r="GH16" t="s">
        <v>881</v>
      </c>
      <c r="GI16">
        <v>1908</v>
      </c>
      <c r="GV16" t="s">
        <v>421</v>
      </c>
      <c r="GW16">
        <v>1144</v>
      </c>
      <c r="HC16" t="s">
        <v>1328</v>
      </c>
      <c r="HD16">
        <v>169</v>
      </c>
      <c r="HQ16" t="s">
        <v>1301</v>
      </c>
      <c r="HR16">
        <v>718</v>
      </c>
      <c r="HX16" t="s">
        <v>276</v>
      </c>
      <c r="HY16">
        <v>868</v>
      </c>
      <c r="IE16" t="s">
        <v>487</v>
      </c>
      <c r="IF16">
        <v>391</v>
      </c>
      <c r="IZ16" t="s">
        <v>386</v>
      </c>
      <c r="JA16">
        <v>14190</v>
      </c>
      <c r="JG16" t="s">
        <v>1062</v>
      </c>
      <c r="JH16">
        <v>1018</v>
      </c>
      <c r="JN16" t="s">
        <v>675</v>
      </c>
      <c r="JO16">
        <v>217</v>
      </c>
      <c r="JU16" t="s">
        <v>1181</v>
      </c>
      <c r="JV16">
        <v>1575</v>
      </c>
      <c r="KB16" t="s">
        <v>480</v>
      </c>
      <c r="KC16">
        <v>465</v>
      </c>
      <c r="KI16" t="s">
        <v>458</v>
      </c>
      <c r="KJ16">
        <v>247</v>
      </c>
      <c r="KP16" t="s">
        <v>482</v>
      </c>
      <c r="KQ16">
        <v>4449</v>
      </c>
      <c r="LD16" t="s">
        <v>488</v>
      </c>
      <c r="LE16">
        <v>303</v>
      </c>
      <c r="LK16" t="s">
        <v>228</v>
      </c>
      <c r="LL16">
        <v>942</v>
      </c>
      <c r="LR16" t="s">
        <v>489</v>
      </c>
      <c r="LS16">
        <v>2318</v>
      </c>
      <c r="LY16" t="s">
        <v>1184</v>
      </c>
      <c r="LZ16">
        <v>255</v>
      </c>
      <c r="MT16" t="s">
        <v>1060</v>
      </c>
      <c r="MU16">
        <v>919</v>
      </c>
      <c r="NA16" t="s">
        <v>488</v>
      </c>
      <c r="NB16">
        <v>1829</v>
      </c>
      <c r="NV16" t="s">
        <v>888</v>
      </c>
      <c r="NW16">
        <v>265</v>
      </c>
      <c r="OC16" t="s">
        <v>387</v>
      </c>
      <c r="OD16">
        <v>3818</v>
      </c>
      <c r="OJ16" t="s">
        <v>1651</v>
      </c>
      <c r="OK16">
        <v>1022</v>
      </c>
    </row>
    <row r="17" spans="8:401">
      <c r="H17" t="s">
        <v>1045</v>
      </c>
      <c r="I17">
        <v>1540</v>
      </c>
      <c r="O17" t="s">
        <v>492</v>
      </c>
      <c r="P17">
        <v>13</v>
      </c>
      <c r="V17" t="s">
        <v>487</v>
      </c>
      <c r="W17">
        <v>1510</v>
      </c>
      <c r="AC17" t="s">
        <v>1302</v>
      </c>
      <c r="AD17">
        <v>1750</v>
      </c>
      <c r="AQ17" t="s">
        <v>1073</v>
      </c>
      <c r="AR17">
        <v>1884</v>
      </c>
      <c r="AX17" t="s">
        <v>1565</v>
      </c>
      <c r="AY17">
        <v>2085</v>
      </c>
      <c r="BE17" t="s">
        <v>631</v>
      </c>
      <c r="BF17">
        <v>67</v>
      </c>
      <c r="BL17" t="s">
        <v>480</v>
      </c>
      <c r="BM17">
        <v>2733</v>
      </c>
      <c r="CG17" t="s">
        <v>1071</v>
      </c>
      <c r="CH17">
        <v>81</v>
      </c>
      <c r="CN17" t="s">
        <v>480</v>
      </c>
      <c r="CO17">
        <v>3488</v>
      </c>
      <c r="CU17" t="s">
        <v>145</v>
      </c>
      <c r="CV17">
        <v>4050</v>
      </c>
      <c r="DB17" t="s">
        <v>145</v>
      </c>
      <c r="DC17">
        <v>22321</v>
      </c>
      <c r="DP17" t="s">
        <v>1499</v>
      </c>
      <c r="DQ17">
        <v>105</v>
      </c>
      <c r="ED17" t="s">
        <v>1149</v>
      </c>
      <c r="EE17">
        <v>108</v>
      </c>
      <c r="EY17" t="s">
        <v>461</v>
      </c>
      <c r="EZ17">
        <v>135</v>
      </c>
      <c r="FF17" t="s">
        <v>1261</v>
      </c>
      <c r="FG17">
        <v>1193</v>
      </c>
      <c r="FT17" t="s">
        <v>1549</v>
      </c>
      <c r="FU17">
        <v>1783</v>
      </c>
      <c r="GA17" t="s">
        <v>486</v>
      </c>
      <c r="GB17">
        <v>1162</v>
      </c>
      <c r="GH17" t="s">
        <v>386</v>
      </c>
      <c r="GI17">
        <v>1766</v>
      </c>
      <c r="GV17" t="s">
        <v>488</v>
      </c>
      <c r="GW17">
        <v>2281</v>
      </c>
      <c r="HC17" t="s">
        <v>411</v>
      </c>
      <c r="HD17">
        <v>166</v>
      </c>
      <c r="HQ17" t="s">
        <v>1584</v>
      </c>
      <c r="HR17">
        <v>181</v>
      </c>
      <c r="HX17" t="s">
        <v>1400</v>
      </c>
      <c r="HY17">
        <v>6585</v>
      </c>
      <c r="IE17" t="s">
        <v>932</v>
      </c>
      <c r="IF17">
        <v>195</v>
      </c>
      <c r="IZ17" t="s">
        <v>970</v>
      </c>
      <c r="JA17">
        <v>1775</v>
      </c>
      <c r="JG17" t="s">
        <v>1400</v>
      </c>
      <c r="JH17">
        <v>5864</v>
      </c>
      <c r="JN17" t="s">
        <v>491</v>
      </c>
      <c r="JO17">
        <v>218</v>
      </c>
      <c r="JU17" t="s">
        <v>253</v>
      </c>
      <c r="JV17">
        <v>1577</v>
      </c>
      <c r="KB17" t="s">
        <v>819</v>
      </c>
      <c r="KC17">
        <v>233</v>
      </c>
      <c r="KI17" t="s">
        <v>1490</v>
      </c>
      <c r="KJ17">
        <v>246</v>
      </c>
      <c r="KP17" t="s">
        <v>1252</v>
      </c>
      <c r="KQ17">
        <v>2225</v>
      </c>
      <c r="LD17" t="s">
        <v>284</v>
      </c>
      <c r="LE17">
        <v>303</v>
      </c>
      <c r="LK17" t="s">
        <v>489</v>
      </c>
      <c r="LL17">
        <v>1881</v>
      </c>
      <c r="LR17" t="s">
        <v>1623</v>
      </c>
      <c r="LS17">
        <v>771</v>
      </c>
      <c r="LY17" t="s">
        <v>145</v>
      </c>
      <c r="LZ17">
        <v>11968</v>
      </c>
      <c r="MT17" t="s">
        <v>489</v>
      </c>
      <c r="MU17">
        <v>918</v>
      </c>
      <c r="NA17" t="s">
        <v>432</v>
      </c>
      <c r="NB17">
        <v>915</v>
      </c>
      <c r="NV17" t="s">
        <v>480</v>
      </c>
      <c r="NW17">
        <v>804</v>
      </c>
      <c r="OC17" t="s">
        <v>1639</v>
      </c>
      <c r="OD17">
        <v>1917</v>
      </c>
      <c r="OJ17" t="s">
        <v>1400</v>
      </c>
      <c r="OK17">
        <v>7175</v>
      </c>
    </row>
    <row r="18" spans="8:401">
      <c r="H18" t="s">
        <v>486</v>
      </c>
      <c r="I18">
        <v>6150</v>
      </c>
      <c r="O18" t="s">
        <v>145</v>
      </c>
      <c r="P18">
        <v>25942</v>
      </c>
      <c r="V18" t="s">
        <v>1142</v>
      </c>
      <c r="W18">
        <v>1510</v>
      </c>
      <c r="AC18" t="s">
        <v>847</v>
      </c>
      <c r="AD18">
        <v>1750</v>
      </c>
      <c r="AQ18" t="s">
        <v>1302</v>
      </c>
      <c r="AR18">
        <v>4716</v>
      </c>
      <c r="AX18" t="s">
        <v>1207</v>
      </c>
      <c r="AY18">
        <v>2061</v>
      </c>
      <c r="BE18" t="s">
        <v>1457</v>
      </c>
      <c r="BF18">
        <v>68</v>
      </c>
      <c r="BL18" t="s">
        <v>897</v>
      </c>
      <c r="BM18">
        <v>1366</v>
      </c>
      <c r="CG18" t="s">
        <v>1072</v>
      </c>
      <c r="CH18">
        <v>83</v>
      </c>
      <c r="CN18" t="s">
        <v>600</v>
      </c>
      <c r="CO18">
        <v>823</v>
      </c>
      <c r="CU18" t="s">
        <v>488</v>
      </c>
      <c r="CV18">
        <v>2429</v>
      </c>
      <c r="DB18" t="s">
        <v>1301</v>
      </c>
      <c r="DC18">
        <v>5278</v>
      </c>
      <c r="DP18" t="s">
        <v>1297</v>
      </c>
      <c r="DQ18">
        <v>107</v>
      </c>
      <c r="ED18" t="s">
        <v>485</v>
      </c>
      <c r="EE18">
        <v>227</v>
      </c>
      <c r="EY18" t="s">
        <v>488</v>
      </c>
      <c r="EZ18">
        <v>281</v>
      </c>
      <c r="FF18" t="s">
        <v>530</v>
      </c>
      <c r="FG18">
        <v>1192</v>
      </c>
      <c r="FT18" t="s">
        <v>548</v>
      </c>
      <c r="FU18">
        <v>1781</v>
      </c>
      <c r="GA18" t="s">
        <v>1307</v>
      </c>
      <c r="GB18">
        <v>1162</v>
      </c>
      <c r="GH18" t="s">
        <v>1448</v>
      </c>
      <c r="GI18">
        <v>1766</v>
      </c>
      <c r="GV18" t="s">
        <v>554</v>
      </c>
      <c r="GW18">
        <v>1140</v>
      </c>
      <c r="HC18" t="s">
        <v>605</v>
      </c>
      <c r="HD18">
        <v>167</v>
      </c>
      <c r="HQ18" t="s">
        <v>1090</v>
      </c>
      <c r="HR18">
        <v>180</v>
      </c>
      <c r="IE18" t="s">
        <v>233</v>
      </c>
      <c r="IF18">
        <v>196</v>
      </c>
      <c r="IZ18" t="s">
        <v>833</v>
      </c>
      <c r="JA18">
        <v>1774</v>
      </c>
      <c r="JN18" t="s">
        <v>674</v>
      </c>
      <c r="JO18">
        <v>218</v>
      </c>
      <c r="JU18" t="s">
        <v>144</v>
      </c>
      <c r="JV18">
        <v>1590</v>
      </c>
      <c r="KB18" t="s">
        <v>1003</v>
      </c>
      <c r="KC18">
        <v>232</v>
      </c>
      <c r="KI18" t="s">
        <v>489</v>
      </c>
      <c r="KJ18">
        <v>497</v>
      </c>
      <c r="KP18" t="s">
        <v>757</v>
      </c>
      <c r="KQ18">
        <v>2224</v>
      </c>
      <c r="LD18" t="s">
        <v>486</v>
      </c>
      <c r="LE18">
        <v>299</v>
      </c>
      <c r="LK18" t="s">
        <v>299</v>
      </c>
      <c r="LL18">
        <v>940</v>
      </c>
      <c r="LR18" t="s">
        <v>1619</v>
      </c>
      <c r="LS18">
        <v>775</v>
      </c>
      <c r="LY18" t="s">
        <v>1301</v>
      </c>
      <c r="LZ18">
        <v>5465</v>
      </c>
      <c r="MT18" t="s">
        <v>1232</v>
      </c>
      <c r="MU18">
        <v>918</v>
      </c>
      <c r="NA18" t="s">
        <v>616</v>
      </c>
      <c r="NB18">
        <v>914</v>
      </c>
      <c r="NV18" t="s">
        <v>414</v>
      </c>
      <c r="NW18">
        <v>269</v>
      </c>
      <c r="OC18" t="s">
        <v>1635</v>
      </c>
      <c r="OD18">
        <v>1901</v>
      </c>
    </row>
    <row r="19" spans="8:401">
      <c r="H19" t="s">
        <v>1115</v>
      </c>
      <c r="I19">
        <v>1536</v>
      </c>
      <c r="O19" t="s">
        <v>1301</v>
      </c>
      <c r="P19">
        <v>3067</v>
      </c>
      <c r="V19" t="s">
        <v>1400</v>
      </c>
      <c r="W19">
        <v>12108</v>
      </c>
      <c r="AC19" t="s">
        <v>1301</v>
      </c>
      <c r="AD19">
        <v>3017</v>
      </c>
      <c r="AQ19" t="s">
        <v>1360</v>
      </c>
      <c r="AR19">
        <v>1551</v>
      </c>
      <c r="AX19" t="s">
        <v>1568</v>
      </c>
      <c r="AY19">
        <v>2097</v>
      </c>
      <c r="BE19" t="s">
        <v>1458</v>
      </c>
      <c r="BF19">
        <v>69</v>
      </c>
      <c r="BL19" t="s">
        <v>154</v>
      </c>
      <c r="BM19">
        <v>1367</v>
      </c>
      <c r="CG19" t="s">
        <v>480</v>
      </c>
      <c r="CH19">
        <v>448</v>
      </c>
      <c r="CN19" t="s">
        <v>208</v>
      </c>
      <c r="CO19">
        <v>1333</v>
      </c>
      <c r="CU19" t="s">
        <v>213</v>
      </c>
      <c r="CV19">
        <v>810</v>
      </c>
      <c r="DB19" t="s">
        <v>559</v>
      </c>
      <c r="DC19">
        <v>1319</v>
      </c>
      <c r="DP19" t="s">
        <v>472</v>
      </c>
      <c r="DQ19">
        <v>106</v>
      </c>
      <c r="ED19" t="s">
        <v>1150</v>
      </c>
      <c r="EE19">
        <v>114</v>
      </c>
      <c r="EY19" t="s">
        <v>1111</v>
      </c>
      <c r="EZ19">
        <v>281</v>
      </c>
      <c r="FF19" t="s">
        <v>1263</v>
      </c>
      <c r="FG19">
        <v>1194</v>
      </c>
      <c r="FT19" t="s">
        <v>1301</v>
      </c>
      <c r="FU19">
        <v>138</v>
      </c>
      <c r="GA19" t="s">
        <v>489</v>
      </c>
      <c r="GB19">
        <v>1161</v>
      </c>
      <c r="GH19" t="s">
        <v>1302</v>
      </c>
      <c r="GI19">
        <v>3131</v>
      </c>
      <c r="GV19" t="s">
        <v>113</v>
      </c>
      <c r="GW19">
        <v>1141</v>
      </c>
      <c r="HC19" t="s">
        <v>488</v>
      </c>
      <c r="HD19">
        <v>690</v>
      </c>
      <c r="HQ19" t="s">
        <v>526</v>
      </c>
      <c r="HR19">
        <v>178</v>
      </c>
      <c r="IE19" t="s">
        <v>145</v>
      </c>
      <c r="IF19">
        <v>23808</v>
      </c>
      <c r="IZ19" t="s">
        <v>445</v>
      </c>
      <c r="JA19">
        <v>1769</v>
      </c>
      <c r="JN19" t="s">
        <v>145</v>
      </c>
      <c r="JO19">
        <v>24811</v>
      </c>
      <c r="JU19" t="s">
        <v>388</v>
      </c>
      <c r="JV19">
        <v>6342</v>
      </c>
      <c r="KB19" t="s">
        <v>488</v>
      </c>
      <c r="KC19">
        <v>707</v>
      </c>
      <c r="KI19" t="s">
        <v>1167</v>
      </c>
      <c r="KJ19">
        <v>249</v>
      </c>
      <c r="KP19" t="s">
        <v>487</v>
      </c>
      <c r="KQ19">
        <v>2847</v>
      </c>
      <c r="LD19" t="s">
        <v>282</v>
      </c>
      <c r="LE19">
        <v>299</v>
      </c>
      <c r="LK19" t="s">
        <v>661</v>
      </c>
      <c r="LL19">
        <v>941</v>
      </c>
      <c r="LR19" t="s">
        <v>1622</v>
      </c>
      <c r="LS19">
        <v>772</v>
      </c>
      <c r="LY19" t="s">
        <v>1186</v>
      </c>
      <c r="LZ19">
        <v>936</v>
      </c>
      <c r="MT19" t="s">
        <v>487</v>
      </c>
      <c r="MU19">
        <v>917</v>
      </c>
      <c r="NA19" t="s">
        <v>486</v>
      </c>
      <c r="NB19">
        <v>913</v>
      </c>
      <c r="NV19" t="s">
        <v>599</v>
      </c>
      <c r="NW19">
        <v>268</v>
      </c>
      <c r="OC19" t="s">
        <v>386</v>
      </c>
      <c r="OD19">
        <v>1751</v>
      </c>
    </row>
    <row r="20" spans="8:401">
      <c r="H20" t="s">
        <v>1046</v>
      </c>
      <c r="I20">
        <v>1537</v>
      </c>
      <c r="O20" t="s">
        <v>784</v>
      </c>
      <c r="P20">
        <v>1534</v>
      </c>
      <c r="AC20" t="s">
        <v>848</v>
      </c>
      <c r="AD20">
        <v>1508</v>
      </c>
      <c r="AQ20" t="s">
        <v>1023</v>
      </c>
      <c r="AR20">
        <v>1583</v>
      </c>
      <c r="AX20" t="s">
        <v>387</v>
      </c>
      <c r="AY20">
        <v>7628</v>
      </c>
      <c r="BE20" t="s">
        <v>493</v>
      </c>
      <c r="BF20">
        <v>70</v>
      </c>
      <c r="BL20" t="s">
        <v>486</v>
      </c>
      <c r="BM20">
        <v>1365</v>
      </c>
      <c r="CG20" t="s">
        <v>178</v>
      </c>
      <c r="CH20">
        <v>279</v>
      </c>
      <c r="CN20" t="s">
        <v>601</v>
      </c>
      <c r="CO20">
        <v>1332</v>
      </c>
      <c r="CU20" t="s">
        <v>558</v>
      </c>
      <c r="CV20">
        <v>808</v>
      </c>
      <c r="DB20" t="s">
        <v>647</v>
      </c>
      <c r="DC20">
        <v>1321</v>
      </c>
      <c r="DP20" t="s">
        <v>145</v>
      </c>
      <c r="DQ20">
        <v>38685</v>
      </c>
      <c r="ED20" t="s">
        <v>517</v>
      </c>
      <c r="EE20">
        <v>113</v>
      </c>
      <c r="EY20" t="s">
        <v>145</v>
      </c>
      <c r="EZ20">
        <v>37184</v>
      </c>
      <c r="FF20" t="s">
        <v>1262</v>
      </c>
      <c r="FG20">
        <v>1191</v>
      </c>
      <c r="FT20" t="s">
        <v>785</v>
      </c>
      <c r="FU20">
        <v>138</v>
      </c>
      <c r="GA20" t="s">
        <v>1011</v>
      </c>
      <c r="GB20">
        <v>1161</v>
      </c>
      <c r="GH20" t="s">
        <v>738</v>
      </c>
      <c r="GI20">
        <v>1566</v>
      </c>
      <c r="GV20" t="s">
        <v>486</v>
      </c>
      <c r="GW20">
        <v>1139</v>
      </c>
      <c r="HC20" t="s">
        <v>1061</v>
      </c>
      <c r="HD20">
        <v>174</v>
      </c>
      <c r="HQ20" t="s">
        <v>435</v>
      </c>
      <c r="HR20">
        <v>179</v>
      </c>
      <c r="IE20" t="s">
        <v>1301</v>
      </c>
      <c r="IF20">
        <v>4246</v>
      </c>
      <c r="IZ20" t="s">
        <v>952</v>
      </c>
      <c r="JA20">
        <v>1773</v>
      </c>
      <c r="JN20" t="s">
        <v>388</v>
      </c>
      <c r="JO20">
        <v>1700</v>
      </c>
      <c r="JU20" t="s">
        <v>1382</v>
      </c>
      <c r="JV20">
        <v>1578</v>
      </c>
      <c r="KB20" t="s">
        <v>1223</v>
      </c>
      <c r="KC20">
        <v>236</v>
      </c>
      <c r="KI20" t="s">
        <v>1168</v>
      </c>
      <c r="KJ20">
        <v>248</v>
      </c>
      <c r="KP20" t="s">
        <v>1254</v>
      </c>
      <c r="KQ20">
        <v>949</v>
      </c>
      <c r="LD20" t="s">
        <v>145</v>
      </c>
      <c r="LE20">
        <v>15054</v>
      </c>
      <c r="LK20" t="s">
        <v>487</v>
      </c>
      <c r="LL20">
        <v>2814</v>
      </c>
      <c r="LR20" t="s">
        <v>487</v>
      </c>
      <c r="LS20">
        <v>770</v>
      </c>
      <c r="LY20" t="s">
        <v>916</v>
      </c>
      <c r="LZ20">
        <v>864</v>
      </c>
      <c r="MT20" t="s">
        <v>1229</v>
      </c>
      <c r="MU20">
        <v>917</v>
      </c>
      <c r="NA20" t="s">
        <v>314</v>
      </c>
      <c r="NB20">
        <v>913</v>
      </c>
      <c r="NV20" t="s">
        <v>914</v>
      </c>
      <c r="NW20">
        <v>267</v>
      </c>
      <c r="OC20" t="s">
        <v>1630</v>
      </c>
      <c r="OD20">
        <v>1751</v>
      </c>
    </row>
    <row r="21" spans="8:401">
      <c r="H21" t="s">
        <v>688</v>
      </c>
      <c r="I21">
        <v>1538</v>
      </c>
      <c r="O21" t="s">
        <v>794</v>
      </c>
      <c r="P21">
        <v>1533</v>
      </c>
      <c r="AC21" t="s">
        <v>478</v>
      </c>
      <c r="AD21">
        <v>1509</v>
      </c>
      <c r="AQ21" t="s">
        <v>935</v>
      </c>
      <c r="AR21">
        <v>1582</v>
      </c>
      <c r="AX21" t="s">
        <v>1569</v>
      </c>
      <c r="AY21">
        <v>1916</v>
      </c>
      <c r="BE21" t="s">
        <v>1084</v>
      </c>
      <c r="BF21">
        <v>64</v>
      </c>
      <c r="BL21" t="s">
        <v>155</v>
      </c>
      <c r="BM21">
        <v>1365</v>
      </c>
      <c r="CG21" t="s">
        <v>598</v>
      </c>
      <c r="CH21">
        <v>84</v>
      </c>
      <c r="CN21" t="s">
        <v>488</v>
      </c>
      <c r="CO21">
        <v>6645</v>
      </c>
      <c r="CU21" t="s">
        <v>268</v>
      </c>
      <c r="CV21">
        <v>811</v>
      </c>
      <c r="DB21" t="s">
        <v>856</v>
      </c>
      <c r="DC21">
        <v>1318</v>
      </c>
      <c r="DP21" t="s">
        <v>1301</v>
      </c>
      <c r="DQ21">
        <v>10404</v>
      </c>
      <c r="ED21" t="s">
        <v>480</v>
      </c>
      <c r="EE21">
        <v>585</v>
      </c>
      <c r="EY21" t="s">
        <v>484</v>
      </c>
      <c r="EZ21">
        <v>2237</v>
      </c>
      <c r="FF21" t="s">
        <v>488</v>
      </c>
      <c r="FG21">
        <v>2379</v>
      </c>
      <c r="FT21" t="s">
        <v>485</v>
      </c>
      <c r="FU21">
        <v>139</v>
      </c>
      <c r="GA21" t="s">
        <v>490</v>
      </c>
      <c r="GB21">
        <v>873</v>
      </c>
      <c r="GH21" t="s">
        <v>737</v>
      </c>
      <c r="GI21">
        <v>1565</v>
      </c>
      <c r="GV21" t="s">
        <v>212</v>
      </c>
      <c r="GW21">
        <v>1139</v>
      </c>
      <c r="HC21" t="s">
        <v>1171</v>
      </c>
      <c r="HD21">
        <v>171</v>
      </c>
      <c r="HQ21" t="s">
        <v>485</v>
      </c>
      <c r="HR21">
        <v>365</v>
      </c>
      <c r="IE21" t="s">
        <v>823</v>
      </c>
      <c r="IF21">
        <v>1063</v>
      </c>
      <c r="IZ21" t="s">
        <v>1611</v>
      </c>
      <c r="JA21">
        <v>1786</v>
      </c>
      <c r="JN21" t="s">
        <v>1357</v>
      </c>
      <c r="JO21">
        <v>1700</v>
      </c>
      <c r="JU21" t="s">
        <v>948</v>
      </c>
      <c r="JV21">
        <v>1593</v>
      </c>
      <c r="KB21" t="s">
        <v>820</v>
      </c>
      <c r="KC21">
        <v>234</v>
      </c>
      <c r="KI21" t="s">
        <v>145</v>
      </c>
      <c r="KJ21">
        <v>22213</v>
      </c>
      <c r="KP21" t="s">
        <v>684</v>
      </c>
      <c r="KQ21">
        <v>950</v>
      </c>
      <c r="LD21" t="s">
        <v>387</v>
      </c>
      <c r="LE21">
        <v>2030</v>
      </c>
      <c r="LK21" t="s">
        <v>296</v>
      </c>
      <c r="LL21">
        <v>939</v>
      </c>
      <c r="LR21" t="s">
        <v>1624</v>
      </c>
      <c r="LS21">
        <v>770</v>
      </c>
      <c r="LY21" t="s">
        <v>1004</v>
      </c>
      <c r="LZ21">
        <v>934</v>
      </c>
      <c r="MT21" t="s">
        <v>1400</v>
      </c>
      <c r="MU21">
        <v>8289</v>
      </c>
      <c r="NA21" t="s">
        <v>489</v>
      </c>
      <c r="NB21">
        <v>912</v>
      </c>
      <c r="NV21" t="s">
        <v>488</v>
      </c>
      <c r="NW21">
        <v>270</v>
      </c>
      <c r="OC21" t="s">
        <v>480</v>
      </c>
      <c r="OD21">
        <v>2</v>
      </c>
    </row>
    <row r="22" spans="8:401">
      <c r="H22" t="s">
        <v>1116</v>
      </c>
      <c r="I22">
        <v>1539</v>
      </c>
      <c r="O22" t="s">
        <v>485</v>
      </c>
      <c r="P22">
        <v>3063</v>
      </c>
      <c r="AC22" t="s">
        <v>485</v>
      </c>
      <c r="AD22">
        <v>4518</v>
      </c>
      <c r="AQ22" t="s">
        <v>388</v>
      </c>
      <c r="AR22">
        <v>3136</v>
      </c>
      <c r="AX22" t="s">
        <v>978</v>
      </c>
      <c r="AY22">
        <v>1904</v>
      </c>
      <c r="BE22" t="s">
        <v>786</v>
      </c>
      <c r="BF22">
        <v>66</v>
      </c>
      <c r="BL22" t="s">
        <v>487</v>
      </c>
      <c r="BM22">
        <v>1364</v>
      </c>
      <c r="CG22" t="s">
        <v>184</v>
      </c>
      <c r="CH22">
        <v>85</v>
      </c>
      <c r="CN22" t="s">
        <v>206</v>
      </c>
      <c r="CO22">
        <v>1330</v>
      </c>
      <c r="CU22" t="s">
        <v>486</v>
      </c>
      <c r="CV22">
        <v>1621</v>
      </c>
      <c r="DB22" t="s">
        <v>669</v>
      </c>
      <c r="DC22">
        <v>1320</v>
      </c>
      <c r="DP22" t="s">
        <v>1299</v>
      </c>
      <c r="DQ22">
        <v>1300</v>
      </c>
      <c r="ED22" t="s">
        <v>837</v>
      </c>
      <c r="EE22">
        <v>117</v>
      </c>
      <c r="EY22" t="s">
        <v>1443</v>
      </c>
      <c r="EZ22">
        <v>2237</v>
      </c>
      <c r="FF22" t="s">
        <v>1353</v>
      </c>
      <c r="FG22">
        <v>1189</v>
      </c>
      <c r="FT22" t="s">
        <v>1541</v>
      </c>
      <c r="FU22">
        <v>139</v>
      </c>
      <c r="GA22" t="s">
        <v>1455</v>
      </c>
      <c r="GB22">
        <v>873</v>
      </c>
      <c r="GH22" t="s">
        <v>485</v>
      </c>
      <c r="GI22">
        <v>430</v>
      </c>
      <c r="GV22" t="s">
        <v>489</v>
      </c>
      <c r="GW22">
        <v>1138</v>
      </c>
      <c r="HC22" t="s">
        <v>1172</v>
      </c>
      <c r="HD22">
        <v>173</v>
      </c>
      <c r="HQ22" t="s">
        <v>1583</v>
      </c>
      <c r="HR22">
        <v>183</v>
      </c>
      <c r="IE22" t="s">
        <v>1601</v>
      </c>
      <c r="IF22">
        <v>1061</v>
      </c>
      <c r="IZ22" t="s">
        <v>1419</v>
      </c>
      <c r="JA22">
        <v>1771</v>
      </c>
      <c r="JN22" t="s">
        <v>1301</v>
      </c>
      <c r="JO22">
        <v>1850</v>
      </c>
      <c r="JU22" t="s">
        <v>1325</v>
      </c>
      <c r="JV22">
        <v>1585</v>
      </c>
      <c r="KB22" t="s">
        <v>465</v>
      </c>
      <c r="KC22">
        <v>237</v>
      </c>
      <c r="KI22" t="s">
        <v>387</v>
      </c>
      <c r="KJ22">
        <v>2035</v>
      </c>
      <c r="KP22" t="s">
        <v>686</v>
      </c>
      <c r="KQ22">
        <v>948</v>
      </c>
      <c r="LD22" t="s">
        <v>994</v>
      </c>
      <c r="LE22">
        <v>2030</v>
      </c>
      <c r="LK22" t="s">
        <v>297</v>
      </c>
      <c r="LL22">
        <v>937</v>
      </c>
      <c r="LR22" t="s">
        <v>1400</v>
      </c>
      <c r="LS22">
        <v>6484</v>
      </c>
      <c r="LY22" t="s">
        <v>1037</v>
      </c>
      <c r="LZ22">
        <v>863</v>
      </c>
      <c r="NA22" t="s">
        <v>1316</v>
      </c>
      <c r="NB22">
        <v>912</v>
      </c>
      <c r="NV22" t="s">
        <v>889</v>
      </c>
      <c r="NW22">
        <v>270</v>
      </c>
      <c r="OC22" t="s">
        <v>1632</v>
      </c>
      <c r="OD22">
        <v>2</v>
      </c>
    </row>
    <row r="23" spans="8:401">
      <c r="H23" t="s">
        <v>489</v>
      </c>
      <c r="I23">
        <v>1535</v>
      </c>
      <c r="O23" t="s">
        <v>1404</v>
      </c>
      <c r="P23">
        <v>1531</v>
      </c>
      <c r="AC23" t="s">
        <v>479</v>
      </c>
      <c r="AD23">
        <v>1505</v>
      </c>
      <c r="AQ23" t="s">
        <v>415</v>
      </c>
      <c r="AR23">
        <v>1552</v>
      </c>
      <c r="AX23" t="s">
        <v>1562</v>
      </c>
      <c r="AY23">
        <v>1905</v>
      </c>
      <c r="BE23" t="s">
        <v>787</v>
      </c>
      <c r="BF23">
        <v>65</v>
      </c>
      <c r="BL23" t="s">
        <v>319</v>
      </c>
      <c r="BM23">
        <v>1364</v>
      </c>
      <c r="CG23" t="s">
        <v>488</v>
      </c>
      <c r="CH23">
        <v>173</v>
      </c>
      <c r="CN23" t="s">
        <v>443</v>
      </c>
      <c r="CO23">
        <v>1331</v>
      </c>
      <c r="CU23" t="s">
        <v>521</v>
      </c>
      <c r="CV23">
        <v>812</v>
      </c>
      <c r="DB23" t="s">
        <v>483</v>
      </c>
      <c r="DC23">
        <v>1317</v>
      </c>
      <c r="DP23" t="s">
        <v>440</v>
      </c>
      <c r="DQ23">
        <v>1301</v>
      </c>
      <c r="ED23" t="s">
        <v>1076</v>
      </c>
      <c r="EE23">
        <v>115</v>
      </c>
      <c r="EY23" t="s">
        <v>386</v>
      </c>
      <c r="EZ23">
        <v>3765</v>
      </c>
      <c r="FF23" t="s">
        <v>1260</v>
      </c>
      <c r="FG23">
        <v>1190</v>
      </c>
      <c r="FT23" t="s">
        <v>480</v>
      </c>
      <c r="FU23">
        <v>710</v>
      </c>
      <c r="GA23" t="s">
        <v>1400</v>
      </c>
      <c r="GB23">
        <v>6133</v>
      </c>
      <c r="GH23" t="s">
        <v>1447</v>
      </c>
      <c r="GI23">
        <v>155</v>
      </c>
      <c r="GV23" t="s">
        <v>662</v>
      </c>
      <c r="GW23">
        <v>1138</v>
      </c>
      <c r="HC23" t="s">
        <v>965</v>
      </c>
      <c r="HD23">
        <v>172</v>
      </c>
      <c r="HQ23" t="s">
        <v>580</v>
      </c>
      <c r="HR23">
        <v>182</v>
      </c>
      <c r="IE23" t="s">
        <v>717</v>
      </c>
      <c r="IF23">
        <v>1062</v>
      </c>
      <c r="IZ23" t="s">
        <v>1423</v>
      </c>
      <c r="JA23">
        <v>1772</v>
      </c>
      <c r="JN23" t="s">
        <v>874</v>
      </c>
      <c r="JO23">
        <v>1017</v>
      </c>
      <c r="JU23" t="s">
        <v>997</v>
      </c>
      <c r="JV23">
        <v>1586</v>
      </c>
      <c r="KB23" t="s">
        <v>486</v>
      </c>
      <c r="KC23">
        <v>712</v>
      </c>
      <c r="KI23" t="s">
        <v>1496</v>
      </c>
      <c r="KJ23">
        <v>2035</v>
      </c>
      <c r="KP23" t="s">
        <v>1400</v>
      </c>
      <c r="KQ23">
        <v>13974</v>
      </c>
      <c r="LD23" t="s">
        <v>386</v>
      </c>
      <c r="LE23">
        <v>1878</v>
      </c>
      <c r="LK23" t="s">
        <v>302</v>
      </c>
      <c r="LL23">
        <v>938</v>
      </c>
      <c r="LY23" t="s">
        <v>1185</v>
      </c>
      <c r="LZ23">
        <v>933</v>
      </c>
      <c r="NA23" t="s">
        <v>490</v>
      </c>
      <c r="NB23">
        <v>866</v>
      </c>
      <c r="NV23" t="s">
        <v>486</v>
      </c>
      <c r="NW23">
        <v>271</v>
      </c>
      <c r="OC23" t="s">
        <v>486</v>
      </c>
      <c r="OD23">
        <v>3</v>
      </c>
    </row>
    <row r="24" spans="8:401">
      <c r="H24" t="s">
        <v>813</v>
      </c>
      <c r="I24">
        <v>1535</v>
      </c>
      <c r="O24" t="s">
        <v>709</v>
      </c>
      <c r="P24">
        <v>1532</v>
      </c>
      <c r="AC24" t="s">
        <v>1033</v>
      </c>
      <c r="AD24">
        <v>1507</v>
      </c>
      <c r="AQ24" t="s">
        <v>1271</v>
      </c>
      <c r="AR24">
        <v>1584</v>
      </c>
      <c r="AX24" t="s">
        <v>1065</v>
      </c>
      <c r="AY24">
        <v>1903</v>
      </c>
      <c r="BE24" t="s">
        <v>1406</v>
      </c>
      <c r="BF24">
        <v>71</v>
      </c>
      <c r="BL24" t="s">
        <v>491</v>
      </c>
      <c r="BM24">
        <v>1363</v>
      </c>
      <c r="CG24" t="s">
        <v>183</v>
      </c>
      <c r="CH24">
        <v>86</v>
      </c>
      <c r="CN24" t="s">
        <v>396</v>
      </c>
      <c r="CO24">
        <v>1328</v>
      </c>
      <c r="CU24" t="s">
        <v>216</v>
      </c>
      <c r="CV24">
        <v>809</v>
      </c>
      <c r="DB24" t="s">
        <v>1478</v>
      </c>
      <c r="DC24">
        <v>1317</v>
      </c>
      <c r="DP24" t="s">
        <v>1056</v>
      </c>
      <c r="DQ24">
        <v>1304</v>
      </c>
      <c r="ED24" t="s">
        <v>807</v>
      </c>
      <c r="EE24">
        <v>118</v>
      </c>
      <c r="EY24" t="s">
        <v>1014</v>
      </c>
      <c r="EZ24">
        <v>1883</v>
      </c>
      <c r="FF24" t="s">
        <v>1400</v>
      </c>
      <c r="FG24">
        <v>13246</v>
      </c>
      <c r="FT24" t="s">
        <v>1542</v>
      </c>
      <c r="FU24">
        <v>140</v>
      </c>
      <c r="GH24" t="s">
        <v>597</v>
      </c>
      <c r="GI24">
        <v>275</v>
      </c>
      <c r="GV24" t="s">
        <v>483</v>
      </c>
      <c r="GW24">
        <v>1147</v>
      </c>
      <c r="HC24" t="s">
        <v>486</v>
      </c>
      <c r="HD24">
        <v>175</v>
      </c>
      <c r="HQ24" t="s">
        <v>480</v>
      </c>
      <c r="HR24">
        <v>559</v>
      </c>
      <c r="IE24" t="s">
        <v>1180</v>
      </c>
      <c r="IF24">
        <v>1060</v>
      </c>
      <c r="IZ24" t="s">
        <v>438</v>
      </c>
      <c r="JA24">
        <v>1770</v>
      </c>
      <c r="JN24" t="s">
        <v>698</v>
      </c>
      <c r="JO24">
        <v>833</v>
      </c>
      <c r="JU24" t="s">
        <v>1301</v>
      </c>
      <c r="JV24">
        <v>2142</v>
      </c>
      <c r="KB24" t="s">
        <v>392</v>
      </c>
      <c r="KC24">
        <v>238</v>
      </c>
      <c r="KI24" t="s">
        <v>1301</v>
      </c>
      <c r="KJ24">
        <v>3219</v>
      </c>
      <c r="LD24" t="s">
        <v>1558</v>
      </c>
      <c r="LE24">
        <v>1878</v>
      </c>
      <c r="LK24" t="s">
        <v>388</v>
      </c>
      <c r="LL24">
        <v>1709</v>
      </c>
      <c r="LY24" t="s">
        <v>1470</v>
      </c>
      <c r="LZ24">
        <v>935</v>
      </c>
      <c r="NA24" t="s">
        <v>312</v>
      </c>
      <c r="NB24">
        <v>866</v>
      </c>
      <c r="NV24" t="s">
        <v>1075</v>
      </c>
      <c r="NW24">
        <v>271</v>
      </c>
      <c r="OC24" t="s">
        <v>1631</v>
      </c>
      <c r="OD24">
        <v>3</v>
      </c>
    </row>
    <row r="25" spans="8:401">
      <c r="H25" t="s">
        <v>1400</v>
      </c>
      <c r="I25">
        <v>15400</v>
      </c>
      <c r="O25" t="s">
        <v>480</v>
      </c>
      <c r="P25">
        <v>6114</v>
      </c>
      <c r="AC25" t="s">
        <v>849</v>
      </c>
      <c r="AD25">
        <v>1506</v>
      </c>
      <c r="AQ25" t="s">
        <v>1301</v>
      </c>
      <c r="AR25">
        <v>2093</v>
      </c>
      <c r="AX25" t="s">
        <v>386</v>
      </c>
      <c r="AY25">
        <v>26428</v>
      </c>
      <c r="BE25" t="s">
        <v>488</v>
      </c>
      <c r="BF25">
        <v>219</v>
      </c>
      <c r="BL25" t="s">
        <v>602</v>
      </c>
      <c r="BM25">
        <v>1363</v>
      </c>
      <c r="CG25" t="s">
        <v>1479</v>
      </c>
      <c r="CH25">
        <v>87</v>
      </c>
      <c r="CN25" t="s">
        <v>1359</v>
      </c>
      <c r="CO25">
        <v>1329</v>
      </c>
      <c r="CU25" t="s">
        <v>1400</v>
      </c>
      <c r="CV25">
        <v>6101</v>
      </c>
      <c r="DB25" t="s">
        <v>480</v>
      </c>
      <c r="DC25">
        <v>1316</v>
      </c>
      <c r="DP25" t="s">
        <v>806</v>
      </c>
      <c r="DQ25">
        <v>1303</v>
      </c>
      <c r="ED25" t="s">
        <v>309</v>
      </c>
      <c r="EE25">
        <v>116</v>
      </c>
      <c r="EY25" t="s">
        <v>1113</v>
      </c>
      <c r="EZ25">
        <v>1882</v>
      </c>
      <c r="FT25" t="s">
        <v>1544</v>
      </c>
      <c r="FU25">
        <v>144</v>
      </c>
      <c r="GH25" t="s">
        <v>480</v>
      </c>
      <c r="GI25">
        <v>156</v>
      </c>
      <c r="GV25" t="s">
        <v>1497</v>
      </c>
      <c r="GW25">
        <v>1147</v>
      </c>
      <c r="HC25" t="s">
        <v>1015</v>
      </c>
      <c r="HD25">
        <v>175</v>
      </c>
      <c r="HQ25" t="s">
        <v>582</v>
      </c>
      <c r="HR25">
        <v>188</v>
      </c>
      <c r="IE25" t="s">
        <v>485</v>
      </c>
      <c r="IF25">
        <v>4223</v>
      </c>
      <c r="IZ25" t="s">
        <v>1302</v>
      </c>
      <c r="JA25">
        <v>3156</v>
      </c>
      <c r="JN25" t="s">
        <v>485</v>
      </c>
      <c r="JO25">
        <v>3043</v>
      </c>
      <c r="JU25" t="s">
        <v>885</v>
      </c>
      <c r="JV25">
        <v>224</v>
      </c>
      <c r="KB25" t="s">
        <v>571</v>
      </c>
      <c r="KC25">
        <v>239</v>
      </c>
      <c r="KI25" t="s">
        <v>701</v>
      </c>
      <c r="KJ25">
        <v>1272</v>
      </c>
      <c r="LD25" t="s">
        <v>1301</v>
      </c>
      <c r="LE25">
        <v>1588</v>
      </c>
      <c r="LK25" t="s">
        <v>525</v>
      </c>
      <c r="LL25">
        <v>1709</v>
      </c>
      <c r="LY25" t="s">
        <v>485</v>
      </c>
      <c r="LZ25">
        <v>932</v>
      </c>
      <c r="NA25" t="s">
        <v>1400</v>
      </c>
      <c r="NB25">
        <v>6466</v>
      </c>
      <c r="NV25" t="s">
        <v>489</v>
      </c>
      <c r="NW25">
        <v>545</v>
      </c>
      <c r="OC25" t="s">
        <v>487</v>
      </c>
      <c r="OD25">
        <v>4</v>
      </c>
    </row>
    <row r="26" spans="8:401">
      <c r="O26" t="s">
        <v>710</v>
      </c>
      <c r="P26">
        <v>1529</v>
      </c>
      <c r="AC26" t="s">
        <v>480</v>
      </c>
      <c r="AD26">
        <v>1504</v>
      </c>
      <c r="AQ26" t="s">
        <v>1017</v>
      </c>
      <c r="AR26">
        <v>278</v>
      </c>
      <c r="AX26" t="s">
        <v>134</v>
      </c>
      <c r="AY26">
        <v>1757</v>
      </c>
      <c r="BE26" t="s">
        <v>825</v>
      </c>
      <c r="BF26">
        <v>72</v>
      </c>
      <c r="BL26" t="s">
        <v>1400</v>
      </c>
      <c r="BM26">
        <v>12307</v>
      </c>
      <c r="CG26" t="s">
        <v>486</v>
      </c>
      <c r="CH26">
        <v>88</v>
      </c>
      <c r="CN26" t="s">
        <v>211</v>
      </c>
      <c r="CO26">
        <v>1327</v>
      </c>
      <c r="DB26" t="s">
        <v>224</v>
      </c>
      <c r="DC26">
        <v>1316</v>
      </c>
      <c r="DP26" t="s">
        <v>470</v>
      </c>
      <c r="DQ26">
        <v>1302</v>
      </c>
      <c r="ED26" t="s">
        <v>515</v>
      </c>
      <c r="EE26">
        <v>119</v>
      </c>
      <c r="EY26" t="s">
        <v>1301</v>
      </c>
      <c r="EZ26">
        <v>8510</v>
      </c>
      <c r="FT26" t="s">
        <v>1020</v>
      </c>
      <c r="FU26">
        <v>142</v>
      </c>
      <c r="GH26" t="s">
        <v>749</v>
      </c>
      <c r="GI26">
        <v>156</v>
      </c>
      <c r="GV26" t="s">
        <v>1400</v>
      </c>
      <c r="GW26">
        <v>12732</v>
      </c>
      <c r="HC26" t="s">
        <v>487</v>
      </c>
      <c r="HD26">
        <v>176</v>
      </c>
      <c r="HQ26" t="s">
        <v>431</v>
      </c>
      <c r="HR26">
        <v>186</v>
      </c>
      <c r="IE26" t="s">
        <v>1603</v>
      </c>
      <c r="IF26">
        <v>1054</v>
      </c>
      <c r="IZ26" t="s">
        <v>1019</v>
      </c>
      <c r="JA26">
        <v>1589</v>
      </c>
      <c r="JN26" t="s">
        <v>1488</v>
      </c>
      <c r="JO26">
        <v>1016</v>
      </c>
      <c r="JU26" t="s">
        <v>101</v>
      </c>
      <c r="JV26">
        <v>280</v>
      </c>
      <c r="KB26" t="s">
        <v>1222</v>
      </c>
      <c r="KC26">
        <v>235</v>
      </c>
      <c r="KI26" t="s">
        <v>1088</v>
      </c>
      <c r="KJ26">
        <v>974</v>
      </c>
      <c r="LD26" t="s">
        <v>862</v>
      </c>
      <c r="LE26">
        <v>792</v>
      </c>
      <c r="LK26" t="s">
        <v>1400</v>
      </c>
      <c r="LL26">
        <v>12071</v>
      </c>
      <c r="LY26" t="s">
        <v>1469</v>
      </c>
      <c r="LZ26">
        <v>932</v>
      </c>
      <c r="NV26" t="s">
        <v>181</v>
      </c>
      <c r="NW26">
        <v>272</v>
      </c>
      <c r="OC26" t="s">
        <v>1627</v>
      </c>
      <c r="OD26">
        <v>4</v>
      </c>
    </row>
    <row r="27" spans="8:401">
      <c r="O27" t="s">
        <v>869</v>
      </c>
      <c r="P27">
        <v>1527</v>
      </c>
      <c r="AC27" t="s">
        <v>399</v>
      </c>
      <c r="AD27">
        <v>1504</v>
      </c>
      <c r="AQ27" t="s">
        <v>1361</v>
      </c>
      <c r="AR27">
        <v>282</v>
      </c>
      <c r="AX27" t="s">
        <v>542</v>
      </c>
      <c r="AY27">
        <v>1758</v>
      </c>
      <c r="BE27" t="s">
        <v>826</v>
      </c>
      <c r="BF27">
        <v>73</v>
      </c>
      <c r="CG27" t="s">
        <v>1070</v>
      </c>
      <c r="CH27">
        <v>88</v>
      </c>
      <c r="CN27" t="s">
        <v>486</v>
      </c>
      <c r="CO27">
        <v>2651</v>
      </c>
      <c r="DB27" t="s">
        <v>488</v>
      </c>
      <c r="DC27">
        <v>5254</v>
      </c>
      <c r="DP27" t="s">
        <v>1509</v>
      </c>
      <c r="DQ27">
        <v>1297</v>
      </c>
      <c r="ED27" t="s">
        <v>488</v>
      </c>
      <c r="EE27">
        <v>486</v>
      </c>
      <c r="EY27" t="s">
        <v>1367</v>
      </c>
      <c r="EZ27">
        <v>1219</v>
      </c>
      <c r="FT27" t="s">
        <v>1539</v>
      </c>
      <c r="FU27">
        <v>141</v>
      </c>
      <c r="GH27" t="s">
        <v>486</v>
      </c>
      <c r="GI27">
        <v>315</v>
      </c>
      <c r="HC27" t="s">
        <v>1285</v>
      </c>
      <c r="HD27">
        <v>176</v>
      </c>
      <c r="HQ27" t="s">
        <v>1089</v>
      </c>
      <c r="HR27">
        <v>185</v>
      </c>
      <c r="IE27" t="s">
        <v>859</v>
      </c>
      <c r="IF27">
        <v>1055</v>
      </c>
      <c r="IZ27" t="s">
        <v>1331</v>
      </c>
      <c r="JA27">
        <v>1567</v>
      </c>
      <c r="JN27" t="s">
        <v>697</v>
      </c>
      <c r="JO27">
        <v>1014</v>
      </c>
      <c r="JU27" t="s">
        <v>1376</v>
      </c>
      <c r="JV27">
        <v>225</v>
      </c>
      <c r="KB27" t="s">
        <v>145</v>
      </c>
      <c r="KC27">
        <v>16906</v>
      </c>
      <c r="KI27" t="s">
        <v>1324</v>
      </c>
      <c r="KJ27">
        <v>973</v>
      </c>
      <c r="LD27" t="s">
        <v>1310</v>
      </c>
      <c r="LE27">
        <v>796</v>
      </c>
      <c r="LY27" t="s">
        <v>488</v>
      </c>
      <c r="LZ27">
        <v>4645</v>
      </c>
      <c r="NV27" t="s">
        <v>218</v>
      </c>
      <c r="NW27">
        <v>273</v>
      </c>
      <c r="OC27" t="s">
        <v>145</v>
      </c>
      <c r="OD27">
        <v>9066</v>
      </c>
    </row>
    <row r="28" spans="8:401">
      <c r="O28" t="s">
        <v>712</v>
      </c>
      <c r="P28">
        <v>1530</v>
      </c>
      <c r="AC28" t="s">
        <v>489</v>
      </c>
      <c r="AD28">
        <v>1503</v>
      </c>
      <c r="AQ28" t="s">
        <v>1189</v>
      </c>
      <c r="AR28">
        <v>276</v>
      </c>
      <c r="AX28" t="s">
        <v>975</v>
      </c>
      <c r="AY28">
        <v>1763</v>
      </c>
      <c r="BE28" t="s">
        <v>824</v>
      </c>
      <c r="BF28">
        <v>74</v>
      </c>
      <c r="CG28" t="s">
        <v>489</v>
      </c>
      <c r="CH28">
        <v>89</v>
      </c>
      <c r="CN28" t="s">
        <v>846</v>
      </c>
      <c r="CO28">
        <v>1326</v>
      </c>
      <c r="DB28" t="s">
        <v>223</v>
      </c>
      <c r="DC28">
        <v>1314</v>
      </c>
      <c r="DP28" t="s">
        <v>1506</v>
      </c>
      <c r="DQ28">
        <v>1299</v>
      </c>
      <c r="ED28" t="s">
        <v>1532</v>
      </c>
      <c r="EE28">
        <v>123</v>
      </c>
      <c r="EY28" t="s">
        <v>640</v>
      </c>
      <c r="EZ28">
        <v>1216</v>
      </c>
      <c r="FT28" t="s">
        <v>1543</v>
      </c>
      <c r="FU28">
        <v>143</v>
      </c>
      <c r="GH28" t="s">
        <v>740</v>
      </c>
      <c r="GI28">
        <v>158</v>
      </c>
      <c r="HC28" t="s">
        <v>145</v>
      </c>
      <c r="HD28">
        <v>59363</v>
      </c>
      <c r="HQ28" t="s">
        <v>488</v>
      </c>
      <c r="HR28">
        <v>560</v>
      </c>
      <c r="IE28" t="s">
        <v>933</v>
      </c>
      <c r="IF28">
        <v>1058</v>
      </c>
      <c r="IZ28" t="s">
        <v>388</v>
      </c>
      <c r="JA28">
        <v>7850</v>
      </c>
      <c r="JN28" t="s">
        <v>681</v>
      </c>
      <c r="JO28">
        <v>1013</v>
      </c>
      <c r="JU28" t="s">
        <v>1258</v>
      </c>
      <c r="JV28">
        <v>308</v>
      </c>
      <c r="KB28" t="s">
        <v>1302</v>
      </c>
      <c r="KC28">
        <v>1712</v>
      </c>
      <c r="KI28" t="s">
        <v>485</v>
      </c>
      <c r="KJ28">
        <v>1761</v>
      </c>
      <c r="LD28" t="s">
        <v>483</v>
      </c>
      <c r="LE28">
        <v>1585</v>
      </c>
      <c r="LY28" t="s">
        <v>1294</v>
      </c>
      <c r="LZ28">
        <v>930</v>
      </c>
      <c r="NV28" t="s">
        <v>487</v>
      </c>
      <c r="NW28">
        <v>274</v>
      </c>
      <c r="OC28" t="s">
        <v>484</v>
      </c>
      <c r="OD28">
        <v>4425</v>
      </c>
    </row>
    <row r="29" spans="8:401">
      <c r="O29" t="s">
        <v>615</v>
      </c>
      <c r="P29">
        <v>1528</v>
      </c>
      <c r="AC29" t="s">
        <v>398</v>
      </c>
      <c r="AD29">
        <v>1503</v>
      </c>
      <c r="AQ29" t="s">
        <v>1392</v>
      </c>
      <c r="AR29">
        <v>23</v>
      </c>
      <c r="AX29" t="s">
        <v>904</v>
      </c>
      <c r="AY29">
        <v>1782</v>
      </c>
      <c r="BE29" t="s">
        <v>489</v>
      </c>
      <c r="BF29">
        <v>75</v>
      </c>
      <c r="CG29" t="s">
        <v>764</v>
      </c>
      <c r="CH29">
        <v>89</v>
      </c>
      <c r="CN29" t="s">
        <v>1323</v>
      </c>
      <c r="CO29">
        <v>1325</v>
      </c>
      <c r="DB29" t="s">
        <v>857</v>
      </c>
      <c r="DC29">
        <v>1315</v>
      </c>
      <c r="DP29" t="s">
        <v>1507</v>
      </c>
      <c r="DQ29">
        <v>1298</v>
      </c>
      <c r="ED29" t="s">
        <v>1266</v>
      </c>
      <c r="EE29">
        <v>121</v>
      </c>
      <c r="EY29" t="s">
        <v>395</v>
      </c>
      <c r="EZ29">
        <v>1217</v>
      </c>
      <c r="FT29" t="s">
        <v>488</v>
      </c>
      <c r="FU29">
        <v>145</v>
      </c>
      <c r="GH29" t="s">
        <v>739</v>
      </c>
      <c r="GI29">
        <v>157</v>
      </c>
      <c r="HC29" t="s">
        <v>1301</v>
      </c>
      <c r="HD29">
        <v>5672</v>
      </c>
      <c r="HQ29" t="s">
        <v>429</v>
      </c>
      <c r="HR29">
        <v>184</v>
      </c>
      <c r="IE29" t="s">
        <v>315</v>
      </c>
      <c r="IF29">
        <v>1056</v>
      </c>
      <c r="IZ29" t="s">
        <v>632</v>
      </c>
      <c r="JA29">
        <v>1568</v>
      </c>
      <c r="JN29" t="s">
        <v>480</v>
      </c>
      <c r="JO29">
        <v>3650</v>
      </c>
      <c r="JU29" t="s">
        <v>552</v>
      </c>
      <c r="JV29">
        <v>221</v>
      </c>
      <c r="KB29" t="s">
        <v>1381</v>
      </c>
      <c r="KC29">
        <v>1712</v>
      </c>
      <c r="KI29" t="s">
        <v>494</v>
      </c>
      <c r="KJ29">
        <v>790</v>
      </c>
      <c r="LD29" t="s">
        <v>293</v>
      </c>
      <c r="LE29">
        <v>785</v>
      </c>
      <c r="LY29" t="s">
        <v>986</v>
      </c>
      <c r="LZ29">
        <v>929</v>
      </c>
      <c r="NV29" t="s">
        <v>219</v>
      </c>
      <c r="NW29">
        <v>274</v>
      </c>
      <c r="OC29" t="s">
        <v>1645</v>
      </c>
      <c r="OD29">
        <v>2212</v>
      </c>
    </row>
    <row r="30" spans="8:401">
      <c r="O30" t="s">
        <v>488</v>
      </c>
      <c r="P30">
        <v>6095</v>
      </c>
      <c r="AC30" t="s">
        <v>487</v>
      </c>
      <c r="AD30">
        <v>1502</v>
      </c>
      <c r="AQ30" t="s">
        <v>1320</v>
      </c>
      <c r="AR30">
        <v>24</v>
      </c>
      <c r="AX30" t="s">
        <v>1212</v>
      </c>
      <c r="AY30">
        <v>1762</v>
      </c>
      <c r="BE30" t="s">
        <v>789</v>
      </c>
      <c r="BF30">
        <v>75</v>
      </c>
      <c r="CG30" t="s">
        <v>145</v>
      </c>
      <c r="CH30">
        <v>56834</v>
      </c>
      <c r="CN30" t="s">
        <v>489</v>
      </c>
      <c r="CO30">
        <v>3969</v>
      </c>
      <c r="DB30" t="s">
        <v>226</v>
      </c>
      <c r="DC30">
        <v>1312</v>
      </c>
      <c r="DP30" t="s">
        <v>485</v>
      </c>
      <c r="DQ30">
        <v>9040</v>
      </c>
      <c r="ED30" t="s">
        <v>516</v>
      </c>
      <c r="EE30">
        <v>120</v>
      </c>
      <c r="EY30" t="s">
        <v>1390</v>
      </c>
      <c r="EZ30">
        <v>1213</v>
      </c>
      <c r="FT30" t="s">
        <v>1121</v>
      </c>
      <c r="FU30">
        <v>145</v>
      </c>
      <c r="GH30" t="s">
        <v>145</v>
      </c>
      <c r="GI30">
        <v>32620</v>
      </c>
      <c r="HC30" t="s">
        <v>1009</v>
      </c>
      <c r="HD30">
        <v>1132</v>
      </c>
      <c r="HQ30" t="s">
        <v>583</v>
      </c>
      <c r="HR30">
        <v>189</v>
      </c>
      <c r="IE30" t="s">
        <v>480</v>
      </c>
      <c r="IF30">
        <v>6110</v>
      </c>
      <c r="IZ30" t="s">
        <v>1058</v>
      </c>
      <c r="JA30">
        <v>1571</v>
      </c>
      <c r="JN30" t="s">
        <v>696</v>
      </c>
      <c r="JO30">
        <v>1015</v>
      </c>
      <c r="JU30" t="s">
        <v>1182</v>
      </c>
      <c r="JV30">
        <v>220</v>
      </c>
      <c r="KB30" t="s">
        <v>388</v>
      </c>
      <c r="KC30">
        <v>3421</v>
      </c>
      <c r="KI30" t="s">
        <v>604</v>
      </c>
      <c r="KJ30">
        <v>971</v>
      </c>
      <c r="LD30" t="s">
        <v>992</v>
      </c>
      <c r="LE30">
        <v>800</v>
      </c>
      <c r="LY30" t="s">
        <v>308</v>
      </c>
      <c r="LZ30">
        <v>931</v>
      </c>
      <c r="NV30" t="s">
        <v>145</v>
      </c>
      <c r="NW30">
        <v>34734</v>
      </c>
      <c r="OC30" t="s">
        <v>1644</v>
      </c>
      <c r="OD30">
        <v>2213</v>
      </c>
    </row>
    <row r="31" spans="8:401">
      <c r="O31" t="s">
        <v>707</v>
      </c>
      <c r="P31">
        <v>1526</v>
      </c>
      <c r="AC31" t="s">
        <v>477</v>
      </c>
      <c r="AD31">
        <v>1502</v>
      </c>
      <c r="AQ31" t="s">
        <v>423</v>
      </c>
      <c r="AR31">
        <v>22</v>
      </c>
      <c r="AX31" t="s">
        <v>906</v>
      </c>
      <c r="AY31">
        <v>1755</v>
      </c>
      <c r="BE31" t="s">
        <v>145</v>
      </c>
      <c r="BF31">
        <v>55150</v>
      </c>
      <c r="CG31" t="s">
        <v>484</v>
      </c>
      <c r="CH31">
        <v>4459</v>
      </c>
      <c r="CN31" t="s">
        <v>1269</v>
      </c>
      <c r="CO31">
        <v>1323</v>
      </c>
      <c r="DB31" t="s">
        <v>229</v>
      </c>
      <c r="DC31">
        <v>1313</v>
      </c>
      <c r="DP31" t="s">
        <v>1508</v>
      </c>
      <c r="DQ31">
        <v>1289</v>
      </c>
      <c r="ED31" t="s">
        <v>1059</v>
      </c>
      <c r="EE31">
        <v>122</v>
      </c>
      <c r="EY31" t="s">
        <v>1441</v>
      </c>
      <c r="EZ31">
        <v>1218</v>
      </c>
      <c r="FT31" t="s">
        <v>486</v>
      </c>
      <c r="FU31">
        <v>590</v>
      </c>
      <c r="GH31" t="s">
        <v>484</v>
      </c>
      <c r="GI31">
        <v>4457</v>
      </c>
      <c r="HC31" t="s">
        <v>1173</v>
      </c>
      <c r="HD31">
        <v>1133</v>
      </c>
      <c r="HQ31" t="s">
        <v>872</v>
      </c>
      <c r="HR31">
        <v>187</v>
      </c>
      <c r="IE31" t="s">
        <v>1374</v>
      </c>
      <c r="IF31">
        <v>847</v>
      </c>
      <c r="IZ31" t="s">
        <v>1083</v>
      </c>
      <c r="JA31">
        <v>1570</v>
      </c>
      <c r="JN31" t="s">
        <v>722</v>
      </c>
      <c r="JO31">
        <v>1012</v>
      </c>
      <c r="JU31" t="s">
        <v>122</v>
      </c>
      <c r="JV31">
        <v>222</v>
      </c>
      <c r="KB31" t="s">
        <v>573</v>
      </c>
      <c r="KC31">
        <v>1711</v>
      </c>
      <c r="KI31" t="s">
        <v>480</v>
      </c>
      <c r="KJ31">
        <v>3738</v>
      </c>
      <c r="LD31" t="s">
        <v>485</v>
      </c>
      <c r="LE31">
        <v>797</v>
      </c>
      <c r="LY31" t="s">
        <v>404</v>
      </c>
      <c r="LZ31">
        <v>928</v>
      </c>
      <c r="NV31" t="s">
        <v>1301</v>
      </c>
      <c r="NW31">
        <v>4545</v>
      </c>
      <c r="OC31" t="s">
        <v>1301</v>
      </c>
      <c r="OD31">
        <v>3095</v>
      </c>
    </row>
    <row r="32" spans="8:401">
      <c r="O32" t="s">
        <v>759</v>
      </c>
      <c r="P32">
        <v>1523</v>
      </c>
      <c r="AC32" t="s">
        <v>1400</v>
      </c>
      <c r="AD32">
        <v>13893</v>
      </c>
      <c r="AQ32" t="s">
        <v>1349</v>
      </c>
      <c r="AR32">
        <v>287</v>
      </c>
      <c r="AX32" t="s">
        <v>138</v>
      </c>
      <c r="AY32">
        <v>1753</v>
      </c>
      <c r="BE32" t="s">
        <v>484</v>
      </c>
      <c r="BF32">
        <v>2242</v>
      </c>
      <c r="CG32" t="s">
        <v>1105</v>
      </c>
      <c r="CH32">
        <v>2240</v>
      </c>
      <c r="CN32" t="s">
        <v>209</v>
      </c>
      <c r="CO32">
        <v>1324</v>
      </c>
      <c r="DB32" t="s">
        <v>486</v>
      </c>
      <c r="DC32">
        <v>7851</v>
      </c>
      <c r="DP32" t="s">
        <v>1511</v>
      </c>
      <c r="DQ32">
        <v>1288</v>
      </c>
      <c r="ED32" t="s">
        <v>486</v>
      </c>
      <c r="EE32">
        <v>124</v>
      </c>
      <c r="EY32" t="s">
        <v>638</v>
      </c>
      <c r="EZ32">
        <v>1212</v>
      </c>
      <c r="FT32" t="s">
        <v>546</v>
      </c>
      <c r="FU32">
        <v>149</v>
      </c>
      <c r="GH32" t="s">
        <v>1206</v>
      </c>
      <c r="GI32">
        <v>2222</v>
      </c>
      <c r="HC32" t="s">
        <v>1291</v>
      </c>
      <c r="HD32">
        <v>1136</v>
      </c>
      <c r="HQ32" t="s">
        <v>145</v>
      </c>
      <c r="HR32">
        <v>27976</v>
      </c>
      <c r="IE32" t="s">
        <v>1280</v>
      </c>
      <c r="IF32">
        <v>1052</v>
      </c>
      <c r="IZ32" t="s">
        <v>1074</v>
      </c>
      <c r="JA32">
        <v>1569</v>
      </c>
      <c r="JN32" t="s">
        <v>578</v>
      </c>
      <c r="JO32">
        <v>788</v>
      </c>
      <c r="JU32" t="s">
        <v>1513</v>
      </c>
      <c r="JV32">
        <v>223</v>
      </c>
      <c r="KB32" t="s">
        <v>1526</v>
      </c>
      <c r="KC32">
        <v>1710</v>
      </c>
      <c r="KI32" t="s">
        <v>529</v>
      </c>
      <c r="KJ32">
        <v>969</v>
      </c>
      <c r="LD32" t="s">
        <v>595</v>
      </c>
      <c r="LE32">
        <v>797</v>
      </c>
      <c r="LY32" t="s">
        <v>918</v>
      </c>
      <c r="LZ32">
        <v>927</v>
      </c>
      <c r="NV32" t="s">
        <v>439</v>
      </c>
      <c r="NW32">
        <v>911</v>
      </c>
      <c r="OC32" t="s">
        <v>1643</v>
      </c>
      <c r="OD32">
        <v>1548</v>
      </c>
    </row>
    <row r="33" spans="15:394">
      <c r="O33" t="s">
        <v>711</v>
      </c>
      <c r="P33">
        <v>1524</v>
      </c>
      <c r="AQ33" t="s">
        <v>1590</v>
      </c>
      <c r="AR33">
        <v>21</v>
      </c>
      <c r="AX33" t="s">
        <v>128</v>
      </c>
      <c r="AY33">
        <v>1761</v>
      </c>
      <c r="BE33" t="s">
        <v>829</v>
      </c>
      <c r="BF33">
        <v>2242</v>
      </c>
      <c r="CG33" t="s">
        <v>1483</v>
      </c>
      <c r="CH33">
        <v>2219</v>
      </c>
      <c r="CN33" t="s">
        <v>988</v>
      </c>
      <c r="CO33">
        <v>1322</v>
      </c>
      <c r="DB33" t="s">
        <v>221</v>
      </c>
      <c r="DC33">
        <v>1309</v>
      </c>
      <c r="DP33" t="s">
        <v>1504</v>
      </c>
      <c r="DQ33">
        <v>1290</v>
      </c>
      <c r="ED33" t="s">
        <v>1312</v>
      </c>
      <c r="EE33">
        <v>124</v>
      </c>
      <c r="EY33" t="s">
        <v>817</v>
      </c>
      <c r="EZ33">
        <v>1215</v>
      </c>
      <c r="FT33" t="s">
        <v>972</v>
      </c>
      <c r="FU33">
        <v>146</v>
      </c>
      <c r="GH33" t="s">
        <v>1450</v>
      </c>
      <c r="GI33">
        <v>2235</v>
      </c>
      <c r="HC33" t="s">
        <v>609</v>
      </c>
      <c r="HD33">
        <v>1137</v>
      </c>
      <c r="HQ33" t="s">
        <v>482</v>
      </c>
      <c r="HR33">
        <v>2232</v>
      </c>
      <c r="IE33" t="s">
        <v>982</v>
      </c>
      <c r="IF33">
        <v>1050</v>
      </c>
      <c r="IZ33" t="s">
        <v>1429</v>
      </c>
      <c r="JA33">
        <v>1572</v>
      </c>
      <c r="JN33" t="s">
        <v>693</v>
      </c>
      <c r="JO33">
        <v>835</v>
      </c>
      <c r="JU33" t="s">
        <v>420</v>
      </c>
      <c r="JV33">
        <v>219</v>
      </c>
      <c r="KB33" t="s">
        <v>1301</v>
      </c>
      <c r="KC33">
        <v>2958</v>
      </c>
      <c r="KI33" t="s">
        <v>528</v>
      </c>
      <c r="KJ33">
        <v>827</v>
      </c>
      <c r="LD33" t="s">
        <v>480</v>
      </c>
      <c r="LE33">
        <v>795</v>
      </c>
      <c r="LY33" t="s">
        <v>486</v>
      </c>
      <c r="LZ33">
        <v>926</v>
      </c>
      <c r="NV33" t="s">
        <v>891</v>
      </c>
      <c r="NW33">
        <v>907</v>
      </c>
      <c r="OC33" t="s">
        <v>1642</v>
      </c>
      <c r="OD33">
        <v>1547</v>
      </c>
    </row>
    <row r="34" spans="15:394">
      <c r="O34" t="s">
        <v>868</v>
      </c>
      <c r="P34">
        <v>1522</v>
      </c>
      <c r="AQ34" t="s">
        <v>1188</v>
      </c>
      <c r="AR34">
        <v>277</v>
      </c>
      <c r="AX34" t="s">
        <v>1035</v>
      </c>
      <c r="AY34">
        <v>1754</v>
      </c>
      <c r="BE34" t="s">
        <v>482</v>
      </c>
      <c r="BF34">
        <v>2241</v>
      </c>
      <c r="CG34" t="s">
        <v>482</v>
      </c>
      <c r="CH34">
        <v>2220</v>
      </c>
      <c r="CN34" t="s">
        <v>490</v>
      </c>
      <c r="CO34">
        <v>874</v>
      </c>
      <c r="DB34" t="s">
        <v>222</v>
      </c>
      <c r="DC34">
        <v>1310</v>
      </c>
      <c r="DP34" t="s">
        <v>1187</v>
      </c>
      <c r="DQ34">
        <v>1291</v>
      </c>
      <c r="ED34" t="s">
        <v>489</v>
      </c>
      <c r="EE34">
        <v>125</v>
      </c>
      <c r="EY34" t="s">
        <v>485</v>
      </c>
      <c r="EZ34">
        <v>9685</v>
      </c>
      <c r="FT34" t="s">
        <v>920</v>
      </c>
      <c r="FU34">
        <v>148</v>
      </c>
      <c r="GH34" t="s">
        <v>482</v>
      </c>
      <c r="GI34">
        <v>2234</v>
      </c>
      <c r="HC34" t="s">
        <v>608</v>
      </c>
      <c r="HD34">
        <v>1134</v>
      </c>
      <c r="HQ34" t="s">
        <v>1585</v>
      </c>
      <c r="HR34">
        <v>2232</v>
      </c>
      <c r="IE34" t="s">
        <v>1279</v>
      </c>
      <c r="IF34">
        <v>1051</v>
      </c>
      <c r="IZ34" t="s">
        <v>1301</v>
      </c>
      <c r="JA34">
        <v>2386</v>
      </c>
      <c r="JN34" t="s">
        <v>488</v>
      </c>
      <c r="JO34">
        <v>7888</v>
      </c>
      <c r="JU34" t="s">
        <v>483</v>
      </c>
      <c r="JV34">
        <v>1149</v>
      </c>
      <c r="KB34" t="s">
        <v>1528</v>
      </c>
      <c r="KC34">
        <v>985</v>
      </c>
      <c r="KI34" t="s">
        <v>1170</v>
      </c>
      <c r="KJ34">
        <v>972</v>
      </c>
      <c r="LD34" t="s">
        <v>990</v>
      </c>
      <c r="LE34">
        <v>795</v>
      </c>
      <c r="LY34" t="s">
        <v>188</v>
      </c>
      <c r="LZ34">
        <v>926</v>
      </c>
      <c r="NV34" t="s">
        <v>257</v>
      </c>
      <c r="NW34">
        <v>910</v>
      </c>
      <c r="OC34" t="s">
        <v>480</v>
      </c>
      <c r="OD34">
        <v>1546</v>
      </c>
    </row>
    <row r="35" spans="15:394">
      <c r="O35" t="s">
        <v>486</v>
      </c>
      <c r="P35">
        <v>3045</v>
      </c>
      <c r="AQ35" t="s">
        <v>1401</v>
      </c>
      <c r="AR35">
        <v>286</v>
      </c>
      <c r="AX35" t="s">
        <v>240</v>
      </c>
      <c r="AY35">
        <v>1764</v>
      </c>
      <c r="BE35" t="s">
        <v>1128</v>
      </c>
      <c r="BF35">
        <v>2241</v>
      </c>
      <c r="CG35" t="s">
        <v>1108</v>
      </c>
      <c r="CH35">
        <v>2220</v>
      </c>
      <c r="CN35" t="s">
        <v>1144</v>
      </c>
      <c r="CO35">
        <v>874</v>
      </c>
      <c r="DB35" t="s">
        <v>1477</v>
      </c>
      <c r="DC35">
        <v>1308</v>
      </c>
      <c r="DP35" t="s">
        <v>1372</v>
      </c>
      <c r="DQ35">
        <v>1292</v>
      </c>
      <c r="ED35" t="s">
        <v>1151</v>
      </c>
      <c r="EE35">
        <v>125</v>
      </c>
      <c r="EY35" t="s">
        <v>462</v>
      </c>
      <c r="EZ35">
        <v>1209</v>
      </c>
      <c r="FT35" t="s">
        <v>921</v>
      </c>
      <c r="FU35">
        <v>147</v>
      </c>
      <c r="GH35" t="s">
        <v>883</v>
      </c>
      <c r="GI35">
        <v>2234</v>
      </c>
      <c r="HC35" t="s">
        <v>483</v>
      </c>
      <c r="HD35">
        <v>1131</v>
      </c>
      <c r="HQ35" t="s">
        <v>387</v>
      </c>
      <c r="HR35">
        <v>2039</v>
      </c>
      <c r="IE35" t="s">
        <v>272</v>
      </c>
      <c r="IF35">
        <v>1057</v>
      </c>
      <c r="IZ35" t="s">
        <v>1416</v>
      </c>
      <c r="JA35">
        <v>199</v>
      </c>
      <c r="JN35" t="s">
        <v>925</v>
      </c>
      <c r="JO35">
        <v>1007</v>
      </c>
      <c r="JU35" t="s">
        <v>996</v>
      </c>
      <c r="JV35">
        <v>304</v>
      </c>
      <c r="KB35" t="s">
        <v>810</v>
      </c>
      <c r="KC35">
        <v>987</v>
      </c>
      <c r="KI35" t="s">
        <v>1493</v>
      </c>
      <c r="KJ35">
        <v>970</v>
      </c>
      <c r="LD35" t="s">
        <v>488</v>
      </c>
      <c r="LE35">
        <v>4792</v>
      </c>
      <c r="LY35" t="s">
        <v>1400</v>
      </c>
      <c r="LZ35">
        <v>13660</v>
      </c>
      <c r="NV35" t="s">
        <v>258</v>
      </c>
      <c r="NW35">
        <v>909</v>
      </c>
      <c r="OC35" t="s">
        <v>1641</v>
      </c>
      <c r="OD35">
        <v>1546</v>
      </c>
    </row>
    <row r="36" spans="15:394">
      <c r="O36" t="s">
        <v>866</v>
      </c>
      <c r="P36">
        <v>1525</v>
      </c>
      <c r="AQ36" t="s">
        <v>1190</v>
      </c>
      <c r="AR36">
        <v>297</v>
      </c>
      <c r="AX36" t="s">
        <v>1036</v>
      </c>
      <c r="AY36">
        <v>1756</v>
      </c>
      <c r="BE36" t="s">
        <v>1302</v>
      </c>
      <c r="BF36">
        <v>3457</v>
      </c>
      <c r="CG36" t="s">
        <v>386</v>
      </c>
      <c r="CH36">
        <v>5669</v>
      </c>
      <c r="CN36" t="s">
        <v>1400</v>
      </c>
      <c r="CO36">
        <v>21076</v>
      </c>
      <c r="DB36" t="s">
        <v>1146</v>
      </c>
      <c r="DC36">
        <v>1307</v>
      </c>
      <c r="DP36" t="s">
        <v>624</v>
      </c>
      <c r="DQ36">
        <v>1294</v>
      </c>
      <c r="ED36" t="s">
        <v>145</v>
      </c>
      <c r="EE36">
        <v>66904</v>
      </c>
      <c r="EY36" t="s">
        <v>1114</v>
      </c>
      <c r="EZ36">
        <v>1220</v>
      </c>
      <c r="FT36" t="s">
        <v>489</v>
      </c>
      <c r="FU36">
        <v>150</v>
      </c>
      <c r="GH36" t="s">
        <v>387</v>
      </c>
      <c r="GI36">
        <v>6123</v>
      </c>
      <c r="HC36" t="s">
        <v>1178</v>
      </c>
      <c r="HD36">
        <v>1131</v>
      </c>
      <c r="HQ36" t="s">
        <v>1095</v>
      </c>
      <c r="HR36">
        <v>2039</v>
      </c>
      <c r="IE36" t="s">
        <v>692</v>
      </c>
      <c r="IF36">
        <v>1053</v>
      </c>
      <c r="IZ36" t="s">
        <v>1138</v>
      </c>
      <c r="JA36">
        <v>288</v>
      </c>
      <c r="JN36" t="s">
        <v>680</v>
      </c>
      <c r="JO36">
        <v>1009</v>
      </c>
      <c r="JU36" t="s">
        <v>951</v>
      </c>
      <c r="JV36">
        <v>309</v>
      </c>
      <c r="KB36" t="s">
        <v>1527</v>
      </c>
      <c r="KC36">
        <v>986</v>
      </c>
      <c r="KI36" t="s">
        <v>488</v>
      </c>
      <c r="KJ36">
        <v>2898</v>
      </c>
      <c r="LD36" t="s">
        <v>287</v>
      </c>
      <c r="LE36">
        <v>801</v>
      </c>
      <c r="NV36" t="s">
        <v>762</v>
      </c>
      <c r="NW36">
        <v>908</v>
      </c>
      <c r="OC36" t="s">
        <v>1400</v>
      </c>
      <c r="OD36">
        <v>31234</v>
      </c>
    </row>
    <row r="37" spans="15:394">
      <c r="O37" t="s">
        <v>865</v>
      </c>
      <c r="P37">
        <v>1520</v>
      </c>
      <c r="AQ37" t="s">
        <v>1591</v>
      </c>
      <c r="AR37">
        <v>20</v>
      </c>
      <c r="AX37" t="s">
        <v>129</v>
      </c>
      <c r="AY37">
        <v>1760</v>
      </c>
      <c r="BE37" t="s">
        <v>1464</v>
      </c>
      <c r="BF37">
        <v>1728</v>
      </c>
      <c r="CG37" t="s">
        <v>1102</v>
      </c>
      <c r="CH37">
        <v>1880</v>
      </c>
      <c r="DB37" t="s">
        <v>225</v>
      </c>
      <c r="DC37">
        <v>1306</v>
      </c>
      <c r="DP37" t="s">
        <v>203</v>
      </c>
      <c r="DQ37">
        <v>1296</v>
      </c>
      <c r="ED37" t="s">
        <v>482</v>
      </c>
      <c r="EE37">
        <v>4477</v>
      </c>
      <c r="EY37" t="s">
        <v>971</v>
      </c>
      <c r="EZ37">
        <v>1214</v>
      </c>
      <c r="FT37" t="s">
        <v>1540</v>
      </c>
      <c r="FU37">
        <v>150</v>
      </c>
      <c r="GH37" t="s">
        <v>882</v>
      </c>
      <c r="GI37">
        <v>2041</v>
      </c>
      <c r="HC37" t="s">
        <v>485</v>
      </c>
      <c r="HD37">
        <v>11269</v>
      </c>
      <c r="HQ37" t="s">
        <v>1301</v>
      </c>
      <c r="HR37">
        <v>3261</v>
      </c>
      <c r="IE37" t="s">
        <v>488</v>
      </c>
      <c r="IF37">
        <v>1897</v>
      </c>
      <c r="IZ37" t="s">
        <v>1281</v>
      </c>
      <c r="JA37">
        <v>204</v>
      </c>
      <c r="JN37" t="s">
        <v>685</v>
      </c>
      <c r="JO37">
        <v>832</v>
      </c>
      <c r="JU37" t="s">
        <v>1514</v>
      </c>
      <c r="JV37">
        <v>226</v>
      </c>
      <c r="KB37" t="s">
        <v>485</v>
      </c>
      <c r="KC37">
        <v>1967</v>
      </c>
      <c r="KI37" t="s">
        <v>1295</v>
      </c>
      <c r="KJ37">
        <v>965</v>
      </c>
      <c r="LD37" t="s">
        <v>289</v>
      </c>
      <c r="LE37">
        <v>802</v>
      </c>
      <c r="NV37" t="s">
        <v>483</v>
      </c>
      <c r="NW37">
        <v>1811</v>
      </c>
    </row>
    <row r="38" spans="15:394">
      <c r="O38" t="s">
        <v>489</v>
      </c>
      <c r="P38">
        <v>3039</v>
      </c>
      <c r="AQ38" t="s">
        <v>483</v>
      </c>
      <c r="AR38">
        <v>51</v>
      </c>
      <c r="AX38" t="s">
        <v>1012</v>
      </c>
      <c r="AY38">
        <v>1759</v>
      </c>
      <c r="BE38" t="s">
        <v>1129</v>
      </c>
      <c r="BF38">
        <v>1729</v>
      </c>
      <c r="CG38" t="s">
        <v>1107</v>
      </c>
      <c r="CH38">
        <v>1894</v>
      </c>
      <c r="DB38" t="s">
        <v>230</v>
      </c>
      <c r="DC38">
        <v>1311</v>
      </c>
      <c r="DP38" t="s">
        <v>480</v>
      </c>
      <c r="DQ38">
        <v>10295</v>
      </c>
      <c r="ED38" t="s">
        <v>1536</v>
      </c>
      <c r="EE38">
        <v>2239</v>
      </c>
      <c r="EY38" t="s">
        <v>641</v>
      </c>
      <c r="EZ38">
        <v>1206</v>
      </c>
      <c r="FT38" t="s">
        <v>145</v>
      </c>
      <c r="FU38">
        <v>42940</v>
      </c>
      <c r="GH38" t="s">
        <v>745</v>
      </c>
      <c r="GI38">
        <v>2042</v>
      </c>
      <c r="HC38" t="s">
        <v>532</v>
      </c>
      <c r="HD38">
        <v>1127</v>
      </c>
      <c r="HQ38" t="s">
        <v>603</v>
      </c>
      <c r="HR38">
        <v>1087</v>
      </c>
      <c r="IE38" t="s">
        <v>861</v>
      </c>
      <c r="IF38">
        <v>848</v>
      </c>
      <c r="IZ38" t="s">
        <v>1417</v>
      </c>
      <c r="JA38">
        <v>200</v>
      </c>
      <c r="JN38" t="s">
        <v>687</v>
      </c>
      <c r="JO38">
        <v>1010</v>
      </c>
      <c r="JU38" t="s">
        <v>1022</v>
      </c>
      <c r="JV38">
        <v>310</v>
      </c>
      <c r="KB38" t="s">
        <v>821</v>
      </c>
      <c r="KC38">
        <v>984</v>
      </c>
      <c r="KI38" t="s">
        <v>1371</v>
      </c>
      <c r="KJ38">
        <v>966</v>
      </c>
      <c r="LD38" t="s">
        <v>290</v>
      </c>
      <c r="LE38">
        <v>793</v>
      </c>
      <c r="NV38" t="s">
        <v>781</v>
      </c>
      <c r="NW38">
        <v>906</v>
      </c>
    </row>
    <row r="39" spans="15:394">
      <c r="O39" t="s">
        <v>506</v>
      </c>
      <c r="P39">
        <v>1521</v>
      </c>
      <c r="AQ39" t="s">
        <v>1588</v>
      </c>
      <c r="AR39">
        <v>25</v>
      </c>
      <c r="AX39" t="s">
        <v>592</v>
      </c>
      <c r="AY39">
        <v>1765</v>
      </c>
      <c r="BE39" t="s">
        <v>1301</v>
      </c>
      <c r="BF39">
        <v>5594</v>
      </c>
      <c r="CG39" t="s">
        <v>1099</v>
      </c>
      <c r="CH39">
        <v>1895</v>
      </c>
      <c r="DB39" t="s">
        <v>487</v>
      </c>
      <c r="DC39">
        <v>1305</v>
      </c>
      <c r="DP39" t="s">
        <v>185</v>
      </c>
      <c r="DQ39">
        <v>1285</v>
      </c>
      <c r="ED39" t="s">
        <v>1165</v>
      </c>
      <c r="EE39">
        <v>2238</v>
      </c>
      <c r="EY39" t="s">
        <v>639</v>
      </c>
      <c r="EZ39">
        <v>1207</v>
      </c>
      <c r="FT39" t="s">
        <v>482</v>
      </c>
      <c r="FU39">
        <v>4435</v>
      </c>
      <c r="GH39" t="s">
        <v>1451</v>
      </c>
      <c r="GI39">
        <v>2040</v>
      </c>
      <c r="HC39" t="s">
        <v>260</v>
      </c>
      <c r="HD39">
        <v>1124</v>
      </c>
      <c r="HQ39" t="s">
        <v>873</v>
      </c>
      <c r="HR39">
        <v>1088</v>
      </c>
      <c r="IE39" t="s">
        <v>273</v>
      </c>
      <c r="IF39">
        <v>1049</v>
      </c>
      <c r="IZ39" t="s">
        <v>961</v>
      </c>
      <c r="JA39">
        <v>205</v>
      </c>
      <c r="JN39" t="s">
        <v>689</v>
      </c>
      <c r="JO39">
        <v>1006</v>
      </c>
      <c r="JU39" t="s">
        <v>486</v>
      </c>
      <c r="JV39">
        <v>227</v>
      </c>
      <c r="KB39" t="s">
        <v>320</v>
      </c>
      <c r="KC39">
        <v>983</v>
      </c>
      <c r="KI39" t="s">
        <v>1495</v>
      </c>
      <c r="KJ39">
        <v>967</v>
      </c>
      <c r="LD39" t="s">
        <v>995</v>
      </c>
      <c r="LE39">
        <v>794</v>
      </c>
      <c r="NV39" t="s">
        <v>799</v>
      </c>
      <c r="NW39">
        <v>905</v>
      </c>
    </row>
    <row r="40" spans="15:394">
      <c r="O40" t="s">
        <v>708</v>
      </c>
      <c r="P40">
        <v>1518</v>
      </c>
      <c r="AQ40" t="s">
        <v>1589</v>
      </c>
      <c r="AR40">
        <v>26</v>
      </c>
      <c r="AX40" t="s">
        <v>1567</v>
      </c>
      <c r="AY40">
        <v>1779</v>
      </c>
      <c r="BE40" t="s">
        <v>1462</v>
      </c>
      <c r="BF40">
        <v>1398</v>
      </c>
      <c r="CG40" t="s">
        <v>1302</v>
      </c>
      <c r="CH40">
        <v>1727</v>
      </c>
      <c r="DB40" t="s">
        <v>227</v>
      </c>
      <c r="DC40">
        <v>1305</v>
      </c>
      <c r="DP40" t="s">
        <v>501</v>
      </c>
      <c r="DQ40">
        <v>1284</v>
      </c>
      <c r="ED40" t="s">
        <v>1301</v>
      </c>
      <c r="EE40">
        <v>7619</v>
      </c>
      <c r="EY40" t="s">
        <v>519</v>
      </c>
      <c r="EZ40">
        <v>1208</v>
      </c>
      <c r="FT40" t="s">
        <v>1555</v>
      </c>
      <c r="FU40">
        <v>2218</v>
      </c>
      <c r="GH40" t="s">
        <v>386</v>
      </c>
      <c r="GI40">
        <v>5667</v>
      </c>
      <c r="HC40" t="s">
        <v>1179</v>
      </c>
      <c r="HD40">
        <v>1126</v>
      </c>
      <c r="HQ40" t="s">
        <v>475</v>
      </c>
      <c r="HR40">
        <v>1086</v>
      </c>
      <c r="IE40" t="s">
        <v>486</v>
      </c>
      <c r="IF40">
        <v>2095</v>
      </c>
      <c r="IZ40" t="s">
        <v>803</v>
      </c>
      <c r="JA40">
        <v>202</v>
      </c>
      <c r="JN40" t="s">
        <v>1203</v>
      </c>
      <c r="JO40">
        <v>1011</v>
      </c>
      <c r="JU40" t="s">
        <v>884</v>
      </c>
      <c r="JV40">
        <v>227</v>
      </c>
      <c r="KB40" t="s">
        <v>480</v>
      </c>
      <c r="KC40">
        <v>1963</v>
      </c>
      <c r="KI40" t="s">
        <v>486</v>
      </c>
      <c r="KJ40">
        <v>1932</v>
      </c>
      <c r="LD40" t="s">
        <v>1319</v>
      </c>
      <c r="LE40">
        <v>803</v>
      </c>
      <c r="NV40" t="s">
        <v>485</v>
      </c>
      <c r="NW40">
        <v>2709</v>
      </c>
    </row>
    <row r="41" spans="15:394">
      <c r="O41" t="s">
        <v>487</v>
      </c>
      <c r="P41">
        <v>1519</v>
      </c>
      <c r="AQ41" t="s">
        <v>485</v>
      </c>
      <c r="AR41">
        <v>333</v>
      </c>
      <c r="AX41" t="s">
        <v>388</v>
      </c>
      <c r="AY41">
        <v>6238</v>
      </c>
      <c r="BE41" t="s">
        <v>960</v>
      </c>
      <c r="BF41">
        <v>1400</v>
      </c>
      <c r="CG41" t="s">
        <v>1106</v>
      </c>
      <c r="CH41">
        <v>1727</v>
      </c>
      <c r="DB41" t="s">
        <v>1400</v>
      </c>
      <c r="DC41">
        <v>22888</v>
      </c>
      <c r="DP41" t="s">
        <v>1502</v>
      </c>
      <c r="DQ41">
        <v>1295</v>
      </c>
      <c r="ED41" t="s">
        <v>522</v>
      </c>
      <c r="EE41">
        <v>1270</v>
      </c>
      <c r="EY41" t="s">
        <v>1368</v>
      </c>
      <c r="EZ41">
        <v>1210</v>
      </c>
      <c r="FT41" t="s">
        <v>1554</v>
      </c>
      <c r="FU41">
        <v>2217</v>
      </c>
      <c r="GH41" t="s">
        <v>742</v>
      </c>
      <c r="GI41">
        <v>1889</v>
      </c>
      <c r="HC41" t="s">
        <v>1329</v>
      </c>
      <c r="HD41">
        <v>1130</v>
      </c>
      <c r="HQ41" t="s">
        <v>485</v>
      </c>
      <c r="HR41">
        <v>8652</v>
      </c>
      <c r="IE41" t="s">
        <v>683</v>
      </c>
      <c r="IF41">
        <v>1048</v>
      </c>
      <c r="IZ41" t="s">
        <v>1139</v>
      </c>
      <c r="JA41">
        <v>201</v>
      </c>
      <c r="JN41" t="s">
        <v>702</v>
      </c>
      <c r="JO41">
        <v>1008</v>
      </c>
      <c r="JU41" t="s">
        <v>145</v>
      </c>
      <c r="JV41">
        <v>36308</v>
      </c>
      <c r="KB41" t="s">
        <v>467</v>
      </c>
      <c r="KC41">
        <v>982</v>
      </c>
      <c r="KI41" t="s">
        <v>407</v>
      </c>
      <c r="KJ41">
        <v>968</v>
      </c>
      <c r="LD41" t="s">
        <v>993</v>
      </c>
      <c r="LE41">
        <v>799</v>
      </c>
      <c r="NV41" t="s">
        <v>195</v>
      </c>
      <c r="NW41">
        <v>902</v>
      </c>
    </row>
    <row r="42" spans="15:394">
      <c r="O42" t="s">
        <v>1391</v>
      </c>
      <c r="P42">
        <v>1519</v>
      </c>
      <c r="AQ42" t="s">
        <v>587</v>
      </c>
      <c r="AR42">
        <v>27</v>
      </c>
      <c r="AX42" t="s">
        <v>838</v>
      </c>
      <c r="AY42">
        <v>1559</v>
      </c>
      <c r="BE42" t="s">
        <v>945</v>
      </c>
      <c r="BF42">
        <v>1399</v>
      </c>
      <c r="CG42" t="s">
        <v>388</v>
      </c>
      <c r="CH42">
        <v>3451</v>
      </c>
      <c r="DP42" t="s">
        <v>930</v>
      </c>
      <c r="DQ42">
        <v>1282</v>
      </c>
      <c r="ED42" t="s">
        <v>1161</v>
      </c>
      <c r="EE42">
        <v>1274</v>
      </c>
      <c r="EY42" t="s">
        <v>1366</v>
      </c>
      <c r="EZ42">
        <v>1211</v>
      </c>
      <c r="FT42" t="s">
        <v>387</v>
      </c>
      <c r="FU42">
        <v>2032</v>
      </c>
      <c r="GH42" t="s">
        <v>743</v>
      </c>
      <c r="GI42">
        <v>1888</v>
      </c>
      <c r="HC42" t="s">
        <v>1475</v>
      </c>
      <c r="HD42">
        <v>1122</v>
      </c>
      <c r="HQ42" t="s">
        <v>828</v>
      </c>
      <c r="HR42">
        <v>1085</v>
      </c>
      <c r="IE42" t="s">
        <v>1340</v>
      </c>
      <c r="IF42">
        <v>1047</v>
      </c>
      <c r="IZ42" t="s">
        <v>1422</v>
      </c>
      <c r="JA42">
        <v>198</v>
      </c>
      <c r="JN42" t="s">
        <v>699</v>
      </c>
      <c r="JO42">
        <v>1005</v>
      </c>
      <c r="JU42" t="s">
        <v>386</v>
      </c>
      <c r="JV42">
        <v>1887</v>
      </c>
      <c r="KB42" t="s">
        <v>497</v>
      </c>
      <c r="KC42">
        <v>981</v>
      </c>
      <c r="KI42" t="s">
        <v>800</v>
      </c>
      <c r="KJ42">
        <v>964</v>
      </c>
      <c r="LD42" t="s">
        <v>486</v>
      </c>
      <c r="LE42">
        <v>798</v>
      </c>
      <c r="NV42" t="s">
        <v>495</v>
      </c>
      <c r="NW42">
        <v>904</v>
      </c>
    </row>
    <row r="43" spans="15:394">
      <c r="O43" t="s">
        <v>1400</v>
      </c>
      <c r="P43">
        <v>26018</v>
      </c>
      <c r="AQ43" t="s">
        <v>1592</v>
      </c>
      <c r="AR43">
        <v>306</v>
      </c>
      <c r="AX43" t="s">
        <v>903</v>
      </c>
      <c r="AY43">
        <v>1560</v>
      </c>
      <c r="BE43" t="s">
        <v>1136</v>
      </c>
      <c r="BF43">
        <v>1397</v>
      </c>
      <c r="CG43" t="s">
        <v>1100</v>
      </c>
      <c r="CH43">
        <v>1726</v>
      </c>
      <c r="DP43" t="s">
        <v>1354</v>
      </c>
      <c r="DQ43">
        <v>1293</v>
      </c>
      <c r="ED43" t="s">
        <v>1339</v>
      </c>
      <c r="EE43">
        <v>1267</v>
      </c>
      <c r="EY43" t="s">
        <v>480</v>
      </c>
      <c r="EZ43">
        <v>8893</v>
      </c>
      <c r="FT43" t="s">
        <v>1556</v>
      </c>
      <c r="FU43">
        <v>2032</v>
      </c>
      <c r="GH43" t="s">
        <v>746</v>
      </c>
      <c r="GI43">
        <v>1890</v>
      </c>
      <c r="HC43" t="s">
        <v>1176</v>
      </c>
      <c r="HD43">
        <v>1135</v>
      </c>
      <c r="HQ43" t="s">
        <v>835</v>
      </c>
      <c r="HR43">
        <v>1079</v>
      </c>
      <c r="IE43" t="s">
        <v>489</v>
      </c>
      <c r="IF43">
        <v>3135</v>
      </c>
      <c r="IZ43" t="s">
        <v>1402</v>
      </c>
      <c r="JA43">
        <v>289</v>
      </c>
      <c r="JN43" t="s">
        <v>486</v>
      </c>
      <c r="JO43">
        <v>1670</v>
      </c>
      <c r="JU43" t="s">
        <v>1029</v>
      </c>
      <c r="JV43">
        <v>1887</v>
      </c>
      <c r="KB43" t="s">
        <v>488</v>
      </c>
      <c r="KC43">
        <v>1957</v>
      </c>
      <c r="KI43" t="s">
        <v>489</v>
      </c>
      <c r="KJ43">
        <v>2886</v>
      </c>
      <c r="LD43" t="s">
        <v>991</v>
      </c>
      <c r="LE43">
        <v>798</v>
      </c>
      <c r="NV43" t="s">
        <v>259</v>
      </c>
      <c r="NW43">
        <v>903</v>
      </c>
    </row>
    <row r="44" spans="15:394">
      <c r="AQ44" t="s">
        <v>480</v>
      </c>
      <c r="AR44">
        <v>341</v>
      </c>
      <c r="AX44" t="s">
        <v>907</v>
      </c>
      <c r="AY44">
        <v>1561</v>
      </c>
      <c r="BE44" t="s">
        <v>485</v>
      </c>
      <c r="BF44">
        <v>6966</v>
      </c>
      <c r="CG44" t="s">
        <v>1103</v>
      </c>
      <c r="CH44">
        <v>1725</v>
      </c>
      <c r="DP44" t="s">
        <v>1503</v>
      </c>
      <c r="DQ44">
        <v>1286</v>
      </c>
      <c r="ED44" t="s">
        <v>1537</v>
      </c>
      <c r="EE44">
        <v>1268</v>
      </c>
      <c r="EY44" t="s">
        <v>236</v>
      </c>
      <c r="EZ44">
        <v>840</v>
      </c>
      <c r="FT44" t="s">
        <v>386</v>
      </c>
      <c r="FU44">
        <v>5676</v>
      </c>
      <c r="GH44" t="s">
        <v>388</v>
      </c>
      <c r="GI44">
        <v>1723</v>
      </c>
      <c r="HC44" t="s">
        <v>1175</v>
      </c>
      <c r="HD44">
        <v>1125</v>
      </c>
      <c r="HQ44" t="s">
        <v>1346</v>
      </c>
      <c r="HR44">
        <v>1082</v>
      </c>
      <c r="IE44" t="s">
        <v>269</v>
      </c>
      <c r="IF44">
        <v>1046</v>
      </c>
      <c r="IZ44" t="s">
        <v>1403</v>
      </c>
      <c r="JA44">
        <v>203</v>
      </c>
      <c r="JN44" t="s">
        <v>704</v>
      </c>
      <c r="JO44">
        <v>836</v>
      </c>
      <c r="JU44" t="s">
        <v>1302</v>
      </c>
      <c r="JV44">
        <v>8518</v>
      </c>
      <c r="KB44" t="s">
        <v>93</v>
      </c>
      <c r="KC44">
        <v>978</v>
      </c>
      <c r="KI44" t="s">
        <v>1494</v>
      </c>
      <c r="KJ44">
        <v>963</v>
      </c>
      <c r="LD44" t="s">
        <v>489</v>
      </c>
      <c r="LE44">
        <v>791</v>
      </c>
      <c r="NV44" t="s">
        <v>480</v>
      </c>
      <c r="NW44">
        <v>3598</v>
      </c>
    </row>
    <row r="45" spans="15:394">
      <c r="AQ45" t="s">
        <v>934</v>
      </c>
      <c r="AR45">
        <v>28</v>
      </c>
      <c r="AX45" t="s">
        <v>755</v>
      </c>
      <c r="AY45">
        <v>1558</v>
      </c>
      <c r="BE45" t="s">
        <v>1135</v>
      </c>
      <c r="BF45">
        <v>1394</v>
      </c>
      <c r="CG45" t="s">
        <v>1301</v>
      </c>
      <c r="CH45">
        <v>8157</v>
      </c>
      <c r="DP45" t="s">
        <v>473</v>
      </c>
      <c r="DQ45">
        <v>1287</v>
      </c>
      <c r="ED45" t="s">
        <v>634</v>
      </c>
      <c r="EE45">
        <v>1269</v>
      </c>
      <c r="EY45" t="s">
        <v>237</v>
      </c>
      <c r="EZ45">
        <v>1205</v>
      </c>
      <c r="FT45" t="s">
        <v>924</v>
      </c>
      <c r="FU45">
        <v>1891</v>
      </c>
      <c r="GH45" t="s">
        <v>1405</v>
      </c>
      <c r="GI45">
        <v>1723</v>
      </c>
      <c r="HC45" t="s">
        <v>1473</v>
      </c>
      <c r="HD45">
        <v>1123</v>
      </c>
      <c r="HQ45" t="s">
        <v>1093</v>
      </c>
      <c r="HR45">
        <v>1081</v>
      </c>
      <c r="IE45" t="s">
        <v>1602</v>
      </c>
      <c r="IF45">
        <v>1044</v>
      </c>
      <c r="IZ45" t="s">
        <v>1341</v>
      </c>
      <c r="JA45">
        <v>197</v>
      </c>
      <c r="JN45" t="s">
        <v>927</v>
      </c>
      <c r="JO45">
        <v>834</v>
      </c>
      <c r="JU45" t="s">
        <v>130</v>
      </c>
      <c r="JV45">
        <v>1715</v>
      </c>
      <c r="KB45" t="s">
        <v>1227</v>
      </c>
      <c r="KC45">
        <v>979</v>
      </c>
      <c r="KI45" t="s">
        <v>778</v>
      </c>
      <c r="KJ45">
        <v>961</v>
      </c>
      <c r="LD45" t="s">
        <v>292</v>
      </c>
      <c r="LE45">
        <v>791</v>
      </c>
      <c r="NV45" t="s">
        <v>890</v>
      </c>
      <c r="NW45">
        <v>898</v>
      </c>
    </row>
    <row r="46" spans="15:394">
      <c r="AQ46" t="s">
        <v>316</v>
      </c>
      <c r="AR46">
        <v>29</v>
      </c>
      <c r="AX46" t="s">
        <v>483</v>
      </c>
      <c r="AY46">
        <v>273</v>
      </c>
      <c r="BE46" t="s">
        <v>1460</v>
      </c>
      <c r="BF46">
        <v>1391</v>
      </c>
      <c r="CG46" t="s">
        <v>186</v>
      </c>
      <c r="CH46">
        <v>1362</v>
      </c>
      <c r="DP46" t="s">
        <v>436</v>
      </c>
      <c r="DQ46">
        <v>1283</v>
      </c>
      <c r="ED46" t="s">
        <v>579</v>
      </c>
      <c r="EE46">
        <v>1271</v>
      </c>
      <c r="EY46" t="s">
        <v>1442</v>
      </c>
      <c r="EZ46">
        <v>1201</v>
      </c>
      <c r="FT46" t="s">
        <v>922</v>
      </c>
      <c r="FU46">
        <v>1893</v>
      </c>
      <c r="GH46" t="s">
        <v>1301</v>
      </c>
      <c r="GI46">
        <v>2319</v>
      </c>
      <c r="HC46" t="s">
        <v>1471</v>
      </c>
      <c r="HD46">
        <v>1129</v>
      </c>
      <c r="HQ46" t="s">
        <v>553</v>
      </c>
      <c r="HR46">
        <v>1078</v>
      </c>
      <c r="IE46" t="s">
        <v>691</v>
      </c>
      <c r="IF46">
        <v>1045</v>
      </c>
      <c r="IZ46" t="s">
        <v>483</v>
      </c>
      <c r="JA46">
        <v>1347</v>
      </c>
      <c r="JN46" t="s">
        <v>489</v>
      </c>
      <c r="JO46">
        <v>4010</v>
      </c>
      <c r="JU46" t="s">
        <v>1333</v>
      </c>
      <c r="JV46">
        <v>1702</v>
      </c>
      <c r="KB46" t="s">
        <v>486</v>
      </c>
      <c r="KC46">
        <v>977</v>
      </c>
      <c r="KI46" t="s">
        <v>898</v>
      </c>
      <c r="KJ46">
        <v>962</v>
      </c>
      <c r="LD46" t="s">
        <v>1400</v>
      </c>
      <c r="LE46">
        <v>20062</v>
      </c>
      <c r="NV46" t="s">
        <v>657</v>
      </c>
      <c r="NW46">
        <v>900</v>
      </c>
    </row>
    <row r="47" spans="15:394">
      <c r="AQ47" t="s">
        <v>176</v>
      </c>
      <c r="AR47">
        <v>284</v>
      </c>
      <c r="AX47" t="s">
        <v>836</v>
      </c>
      <c r="AY47">
        <v>43</v>
      </c>
      <c r="BE47" t="s">
        <v>793</v>
      </c>
      <c r="BF47">
        <v>1392</v>
      </c>
      <c r="CG47" t="s">
        <v>254</v>
      </c>
      <c r="CH47">
        <v>1357</v>
      </c>
      <c r="DP47" t="s">
        <v>488</v>
      </c>
      <c r="DQ47">
        <v>6395</v>
      </c>
      <c r="ED47" t="s">
        <v>483</v>
      </c>
      <c r="EE47">
        <v>1266</v>
      </c>
      <c r="EY47" t="s">
        <v>238</v>
      </c>
      <c r="EZ47">
        <v>838</v>
      </c>
      <c r="FT47" t="s">
        <v>550</v>
      </c>
      <c r="FU47">
        <v>1892</v>
      </c>
      <c r="GH47" t="s">
        <v>747</v>
      </c>
      <c r="GI47">
        <v>1159</v>
      </c>
      <c r="HC47" t="s">
        <v>142</v>
      </c>
      <c r="HD47">
        <v>1128</v>
      </c>
      <c r="HQ47" t="s">
        <v>476</v>
      </c>
      <c r="HR47">
        <v>1084</v>
      </c>
      <c r="IE47" t="s">
        <v>491</v>
      </c>
      <c r="IF47">
        <v>1043</v>
      </c>
      <c r="IZ47" t="s">
        <v>248</v>
      </c>
      <c r="JA47">
        <v>206</v>
      </c>
      <c r="JN47" t="s">
        <v>682</v>
      </c>
      <c r="JO47">
        <v>1001</v>
      </c>
      <c r="JU47" t="s">
        <v>1326</v>
      </c>
      <c r="JV47">
        <v>1697</v>
      </c>
      <c r="KB47" t="s">
        <v>1525</v>
      </c>
      <c r="KC47">
        <v>977</v>
      </c>
      <c r="KI47" t="s">
        <v>487</v>
      </c>
      <c r="KJ47">
        <v>1919</v>
      </c>
      <c r="NV47" t="s">
        <v>1334</v>
      </c>
      <c r="NW47">
        <v>899</v>
      </c>
    </row>
    <row r="48" spans="15:394">
      <c r="AQ48" t="s">
        <v>488</v>
      </c>
      <c r="AR48">
        <v>30</v>
      </c>
      <c r="AX48" t="s">
        <v>1005</v>
      </c>
      <c r="AY48">
        <v>47</v>
      </c>
      <c r="BE48" t="s">
        <v>827</v>
      </c>
      <c r="BF48">
        <v>1393</v>
      </c>
      <c r="CG48" t="s">
        <v>191</v>
      </c>
      <c r="CH48">
        <v>1360</v>
      </c>
      <c r="DP48" t="s">
        <v>1505</v>
      </c>
      <c r="DQ48">
        <v>1281</v>
      </c>
      <c r="ED48" t="s">
        <v>1199</v>
      </c>
      <c r="EE48">
        <v>1266</v>
      </c>
      <c r="EY48" t="s">
        <v>463</v>
      </c>
      <c r="EZ48">
        <v>1202</v>
      </c>
      <c r="FT48" t="s">
        <v>1301</v>
      </c>
      <c r="FU48">
        <v>7113</v>
      </c>
      <c r="GH48" t="s">
        <v>1205</v>
      </c>
      <c r="GI48">
        <v>1160</v>
      </c>
      <c r="HC48" t="s">
        <v>480</v>
      </c>
      <c r="HD48">
        <v>15603</v>
      </c>
      <c r="HQ48" t="s">
        <v>584</v>
      </c>
      <c r="HR48">
        <v>1080</v>
      </c>
      <c r="IE48" t="s">
        <v>270</v>
      </c>
      <c r="IF48">
        <v>1043</v>
      </c>
      <c r="IZ48" t="s">
        <v>1282</v>
      </c>
      <c r="JA48">
        <v>209</v>
      </c>
      <c r="JN48" t="s">
        <v>926</v>
      </c>
      <c r="JO48">
        <v>1002</v>
      </c>
      <c r="JU48" t="s">
        <v>969</v>
      </c>
      <c r="JV48">
        <v>1701</v>
      </c>
      <c r="KB48" t="s">
        <v>489</v>
      </c>
      <c r="KC48">
        <v>976</v>
      </c>
      <c r="KI48" t="s">
        <v>726</v>
      </c>
      <c r="KJ48">
        <v>959</v>
      </c>
      <c r="NV48" t="s">
        <v>120</v>
      </c>
      <c r="NW48">
        <v>901</v>
      </c>
    </row>
    <row r="49" spans="43:387">
      <c r="AQ49" t="s">
        <v>1191</v>
      </c>
      <c r="AR49">
        <v>30</v>
      </c>
      <c r="AX49" t="s">
        <v>1560</v>
      </c>
      <c r="AY49">
        <v>48</v>
      </c>
      <c r="BE49" t="s">
        <v>947</v>
      </c>
      <c r="BF49">
        <v>1396</v>
      </c>
      <c r="CG49" t="s">
        <v>193</v>
      </c>
      <c r="CH49">
        <v>1361</v>
      </c>
      <c r="DP49" t="s">
        <v>1298</v>
      </c>
      <c r="DQ49">
        <v>1278</v>
      </c>
      <c r="ED49" t="s">
        <v>485</v>
      </c>
      <c r="EE49">
        <v>10095</v>
      </c>
      <c r="EY49" t="s">
        <v>239</v>
      </c>
      <c r="EZ49">
        <v>1203</v>
      </c>
      <c r="FT49" t="s">
        <v>1553</v>
      </c>
      <c r="FU49">
        <v>1183</v>
      </c>
      <c r="GH49" t="s">
        <v>485</v>
      </c>
      <c r="GI49">
        <v>861</v>
      </c>
      <c r="HC49" t="s">
        <v>1177</v>
      </c>
      <c r="HD49">
        <v>1118</v>
      </c>
      <c r="HQ49" t="s">
        <v>524</v>
      </c>
      <c r="HR49">
        <v>1083</v>
      </c>
      <c r="IE49" t="s">
        <v>483</v>
      </c>
      <c r="IF49">
        <v>1059</v>
      </c>
      <c r="IZ49" t="s">
        <v>1418</v>
      </c>
      <c r="JA49">
        <v>208</v>
      </c>
      <c r="JN49" t="s">
        <v>695</v>
      </c>
      <c r="JO49">
        <v>1004</v>
      </c>
      <c r="JU49" t="s">
        <v>1327</v>
      </c>
      <c r="JV49">
        <v>1703</v>
      </c>
      <c r="KB49" t="s">
        <v>464</v>
      </c>
      <c r="KC49">
        <v>976</v>
      </c>
      <c r="KI49" t="s">
        <v>779</v>
      </c>
      <c r="KJ49">
        <v>960</v>
      </c>
      <c r="NV49" t="s">
        <v>488</v>
      </c>
      <c r="NW49">
        <v>4475</v>
      </c>
    </row>
    <row r="50" spans="43:387">
      <c r="AQ50" t="s">
        <v>486</v>
      </c>
      <c r="AR50">
        <v>31</v>
      </c>
      <c r="AX50" t="s">
        <v>182</v>
      </c>
      <c r="AY50">
        <v>44</v>
      </c>
      <c r="BE50" t="s">
        <v>480</v>
      </c>
      <c r="BF50">
        <v>13338</v>
      </c>
      <c r="CG50" t="s">
        <v>1482</v>
      </c>
      <c r="CH50">
        <v>1358</v>
      </c>
      <c r="DP50" t="s">
        <v>1117</v>
      </c>
      <c r="DQ50">
        <v>1279</v>
      </c>
      <c r="ED50" t="s">
        <v>1166</v>
      </c>
      <c r="EE50">
        <v>1258</v>
      </c>
      <c r="EY50" t="s">
        <v>566</v>
      </c>
      <c r="EZ50">
        <v>1200</v>
      </c>
      <c r="FT50" t="s">
        <v>100</v>
      </c>
      <c r="FU50">
        <v>1185</v>
      </c>
      <c r="GH50" t="s">
        <v>973</v>
      </c>
      <c r="GI50">
        <v>861</v>
      </c>
      <c r="HC50" t="s">
        <v>900</v>
      </c>
      <c r="HD50">
        <v>1111</v>
      </c>
      <c r="HQ50" t="s">
        <v>480</v>
      </c>
      <c r="HR50">
        <v>9657</v>
      </c>
      <c r="IE50" t="s">
        <v>860</v>
      </c>
      <c r="IF50">
        <v>1059</v>
      </c>
      <c r="IZ50" t="s">
        <v>1385</v>
      </c>
      <c r="JA50">
        <v>307</v>
      </c>
      <c r="JN50" t="s">
        <v>690</v>
      </c>
      <c r="JO50">
        <v>1003</v>
      </c>
      <c r="JU50" t="s">
        <v>388</v>
      </c>
      <c r="JV50">
        <v>5131</v>
      </c>
      <c r="KB50" t="s">
        <v>487</v>
      </c>
      <c r="KC50">
        <v>975</v>
      </c>
      <c r="KI50" t="s">
        <v>490</v>
      </c>
      <c r="KJ50">
        <v>867</v>
      </c>
      <c r="NV50" t="s">
        <v>670</v>
      </c>
      <c r="NW50">
        <v>894</v>
      </c>
    </row>
    <row r="51" spans="43:387">
      <c r="AQ51" t="s">
        <v>1192</v>
      </c>
      <c r="AR51">
        <v>31</v>
      </c>
      <c r="AX51" t="s">
        <v>1209</v>
      </c>
      <c r="AY51">
        <v>45</v>
      </c>
      <c r="BE51" t="s">
        <v>1057</v>
      </c>
      <c r="BF51">
        <v>1390</v>
      </c>
      <c r="CG51" t="s">
        <v>1034</v>
      </c>
      <c r="CH51">
        <v>1359</v>
      </c>
      <c r="DP51" t="s">
        <v>643</v>
      </c>
      <c r="DQ51">
        <v>1280</v>
      </c>
      <c r="ED51" t="s">
        <v>1533</v>
      </c>
      <c r="EE51">
        <v>1273</v>
      </c>
      <c r="EY51" t="s">
        <v>413</v>
      </c>
      <c r="EZ51">
        <v>1204</v>
      </c>
      <c r="FT51" t="s">
        <v>1552</v>
      </c>
      <c r="FU51">
        <v>1184</v>
      </c>
      <c r="GH51" t="s">
        <v>480</v>
      </c>
      <c r="GI51">
        <v>1157</v>
      </c>
      <c r="HC51" t="s">
        <v>390</v>
      </c>
      <c r="HD51">
        <v>1116</v>
      </c>
      <c r="HQ51" t="s">
        <v>409</v>
      </c>
      <c r="HR51">
        <v>1071</v>
      </c>
      <c r="IE51" t="s">
        <v>1400</v>
      </c>
      <c r="IF51">
        <v>25159</v>
      </c>
      <c r="IZ51" t="s">
        <v>1424</v>
      </c>
      <c r="JA51">
        <v>207</v>
      </c>
      <c r="JN51" t="s">
        <v>491</v>
      </c>
      <c r="JO51">
        <v>1000</v>
      </c>
      <c r="JU51" t="s">
        <v>1016</v>
      </c>
      <c r="JV51">
        <v>1704</v>
      </c>
      <c r="KB51" t="s">
        <v>403</v>
      </c>
      <c r="KC51">
        <v>975</v>
      </c>
      <c r="KI51" t="s">
        <v>987</v>
      </c>
      <c r="KJ51">
        <v>867</v>
      </c>
      <c r="NV51" t="s">
        <v>892</v>
      </c>
      <c r="NW51">
        <v>897</v>
      </c>
    </row>
    <row r="52" spans="43:387">
      <c r="AQ52" t="s">
        <v>489</v>
      </c>
      <c r="AR52">
        <v>32</v>
      </c>
      <c r="AX52" t="s">
        <v>1048</v>
      </c>
      <c r="AY52">
        <v>46</v>
      </c>
      <c r="BE52" t="s">
        <v>943</v>
      </c>
      <c r="BF52">
        <v>1387</v>
      </c>
      <c r="CG52" t="s">
        <v>483</v>
      </c>
      <c r="CH52">
        <v>1356</v>
      </c>
      <c r="DP52" t="s">
        <v>1510</v>
      </c>
      <c r="DQ52">
        <v>1277</v>
      </c>
      <c r="ED52" t="s">
        <v>809</v>
      </c>
      <c r="EE52">
        <v>1263</v>
      </c>
      <c r="EY52" t="s">
        <v>488</v>
      </c>
      <c r="EZ52">
        <v>858</v>
      </c>
      <c r="FT52" t="s">
        <v>106</v>
      </c>
      <c r="FU52">
        <v>1188</v>
      </c>
      <c r="GH52" t="s">
        <v>1452</v>
      </c>
      <c r="GI52">
        <v>1157</v>
      </c>
      <c r="HC52" t="s">
        <v>1292</v>
      </c>
      <c r="HD52">
        <v>1110</v>
      </c>
      <c r="HQ52" t="s">
        <v>1094</v>
      </c>
      <c r="HR52">
        <v>1072</v>
      </c>
      <c r="IZ52" t="s">
        <v>1137</v>
      </c>
      <c r="JA52">
        <v>210</v>
      </c>
      <c r="JN52" t="s">
        <v>1296</v>
      </c>
      <c r="JO52">
        <v>1000</v>
      </c>
      <c r="JU52" t="s">
        <v>950</v>
      </c>
      <c r="JV52">
        <v>1714</v>
      </c>
      <c r="KB52" t="s">
        <v>1400</v>
      </c>
      <c r="KC52">
        <v>23065</v>
      </c>
      <c r="KI52" t="s">
        <v>491</v>
      </c>
      <c r="KJ52">
        <v>958</v>
      </c>
      <c r="NV52" t="s">
        <v>666</v>
      </c>
      <c r="NW52">
        <v>895</v>
      </c>
    </row>
    <row r="53" spans="43:387">
      <c r="AQ53" t="s">
        <v>754</v>
      </c>
      <c r="AR53">
        <v>32</v>
      </c>
      <c r="AX53" t="s">
        <v>485</v>
      </c>
      <c r="AY53">
        <v>204</v>
      </c>
      <c r="BE53" t="s">
        <v>505</v>
      </c>
      <c r="BF53">
        <v>1385</v>
      </c>
      <c r="CG53" t="s">
        <v>417</v>
      </c>
      <c r="CH53">
        <v>1356</v>
      </c>
      <c r="DP53" t="s">
        <v>486</v>
      </c>
      <c r="DQ53">
        <v>1276</v>
      </c>
      <c r="ED53" t="s">
        <v>694</v>
      </c>
      <c r="EE53">
        <v>1260</v>
      </c>
      <c r="EY53" t="s">
        <v>919</v>
      </c>
      <c r="EZ53">
        <v>858</v>
      </c>
      <c r="FT53" t="s">
        <v>1373</v>
      </c>
      <c r="FU53">
        <v>1186</v>
      </c>
      <c r="GH53" t="s">
        <v>488</v>
      </c>
      <c r="GI53">
        <v>4618</v>
      </c>
      <c r="HC53" t="s">
        <v>538</v>
      </c>
      <c r="HD53">
        <v>1119</v>
      </c>
      <c r="HQ53" t="s">
        <v>1092</v>
      </c>
      <c r="HR53">
        <v>1076</v>
      </c>
      <c r="IZ53" t="s">
        <v>485</v>
      </c>
      <c r="JA53">
        <v>423</v>
      </c>
      <c r="JN53" t="s">
        <v>1400</v>
      </c>
      <c r="JO53">
        <v>27770</v>
      </c>
      <c r="JU53" t="s">
        <v>887</v>
      </c>
      <c r="JV53">
        <v>1713</v>
      </c>
      <c r="KI53" t="s">
        <v>318</v>
      </c>
      <c r="KJ53">
        <v>958</v>
      </c>
      <c r="NV53" t="s">
        <v>663</v>
      </c>
      <c r="NW53">
        <v>896</v>
      </c>
    </row>
    <row r="54" spans="43:387">
      <c r="AQ54" t="s">
        <v>145</v>
      </c>
      <c r="AR54">
        <v>126195</v>
      </c>
      <c r="AX54" t="s">
        <v>98</v>
      </c>
      <c r="AY54">
        <v>49</v>
      </c>
      <c r="BE54" t="s">
        <v>1126</v>
      </c>
      <c r="BF54">
        <v>1389</v>
      </c>
      <c r="CG54" t="s">
        <v>485</v>
      </c>
      <c r="CH54">
        <v>4061</v>
      </c>
      <c r="DP54" t="s">
        <v>620</v>
      </c>
      <c r="DQ54">
        <v>1276</v>
      </c>
      <c r="ED54" t="s">
        <v>1155</v>
      </c>
      <c r="EE54">
        <v>1259</v>
      </c>
      <c r="EY54" t="s">
        <v>486</v>
      </c>
      <c r="EZ54">
        <v>2038</v>
      </c>
      <c r="FT54" t="s">
        <v>427</v>
      </c>
      <c r="FU54">
        <v>1187</v>
      </c>
      <c r="GH54" t="s">
        <v>968</v>
      </c>
      <c r="GI54">
        <v>1155</v>
      </c>
      <c r="HC54" t="s">
        <v>901</v>
      </c>
      <c r="HD54">
        <v>1114</v>
      </c>
      <c r="HQ54" t="s">
        <v>410</v>
      </c>
      <c r="HR54">
        <v>1077</v>
      </c>
      <c r="IZ54" t="s">
        <v>1342</v>
      </c>
      <c r="JA54">
        <v>212</v>
      </c>
      <c r="JU54" t="s">
        <v>1301</v>
      </c>
      <c r="JV54">
        <v>9949</v>
      </c>
      <c r="KI54" t="s">
        <v>1400</v>
      </c>
      <c r="KJ54">
        <v>24658</v>
      </c>
      <c r="NV54" t="s">
        <v>761</v>
      </c>
      <c r="NW54">
        <v>893</v>
      </c>
    </row>
    <row r="55" spans="43:387">
      <c r="AQ55" t="s">
        <v>482</v>
      </c>
      <c r="AR55">
        <v>11240</v>
      </c>
      <c r="AX55" t="s">
        <v>102</v>
      </c>
      <c r="AY55">
        <v>52</v>
      </c>
      <c r="BE55" t="s">
        <v>622</v>
      </c>
      <c r="BF55">
        <v>1383</v>
      </c>
      <c r="CG55" t="s">
        <v>1101</v>
      </c>
      <c r="CH55">
        <v>1355</v>
      </c>
      <c r="DP55" t="s">
        <v>487</v>
      </c>
      <c r="DQ55">
        <v>1275</v>
      </c>
      <c r="ED55" t="s">
        <v>536</v>
      </c>
      <c r="EE55">
        <v>1264</v>
      </c>
      <c r="EY55" t="s">
        <v>818</v>
      </c>
      <c r="EZ55">
        <v>839</v>
      </c>
      <c r="FT55" t="s">
        <v>485</v>
      </c>
      <c r="FU55">
        <v>7075</v>
      </c>
      <c r="GH55" t="s">
        <v>966</v>
      </c>
      <c r="GI55">
        <v>1153</v>
      </c>
      <c r="HC55" t="s">
        <v>1287</v>
      </c>
      <c r="HD55">
        <v>1113</v>
      </c>
      <c r="HQ55" t="s">
        <v>1587</v>
      </c>
      <c r="HR55">
        <v>1069</v>
      </c>
      <c r="IZ55" t="s">
        <v>249</v>
      </c>
      <c r="JA55">
        <v>211</v>
      </c>
      <c r="JU55" t="s">
        <v>1518</v>
      </c>
      <c r="JV55">
        <v>997</v>
      </c>
      <c r="NV55" t="s">
        <v>486</v>
      </c>
      <c r="NW55">
        <v>5328</v>
      </c>
    </row>
    <row r="56" spans="43:387">
      <c r="AQ56" t="s">
        <v>1200</v>
      </c>
      <c r="AR56">
        <v>2247</v>
      </c>
      <c r="AX56" t="s">
        <v>563</v>
      </c>
      <c r="AY56">
        <v>50</v>
      </c>
      <c r="BE56" t="s">
        <v>1461</v>
      </c>
      <c r="BF56">
        <v>1382</v>
      </c>
      <c r="CG56" t="s">
        <v>646</v>
      </c>
      <c r="CH56">
        <v>1352</v>
      </c>
      <c r="DP56" t="s">
        <v>929</v>
      </c>
      <c r="DQ56">
        <v>1275</v>
      </c>
      <c r="ED56" t="s">
        <v>1159</v>
      </c>
      <c r="EE56">
        <v>1261</v>
      </c>
      <c r="EY56" t="s">
        <v>246</v>
      </c>
      <c r="EZ56">
        <v>1199</v>
      </c>
      <c r="FT56" t="s">
        <v>871</v>
      </c>
      <c r="FU56">
        <v>1179</v>
      </c>
      <c r="GH56" t="s">
        <v>1204</v>
      </c>
      <c r="GI56">
        <v>1154</v>
      </c>
      <c r="HC56" t="s">
        <v>1399</v>
      </c>
      <c r="HD56">
        <v>1121</v>
      </c>
      <c r="HQ56" t="s">
        <v>1586</v>
      </c>
      <c r="HR56">
        <v>1070</v>
      </c>
      <c r="IZ56" t="s">
        <v>145</v>
      </c>
      <c r="JA56">
        <v>48566</v>
      </c>
      <c r="JU56" t="s">
        <v>1259</v>
      </c>
      <c r="JV56">
        <v>994</v>
      </c>
      <c r="NV56" t="s">
        <v>645</v>
      </c>
      <c r="NW56">
        <v>885</v>
      </c>
    </row>
    <row r="57" spans="43:387">
      <c r="AQ57" t="s">
        <v>1027</v>
      </c>
      <c r="AR57">
        <v>2248</v>
      </c>
      <c r="AX57" t="s">
        <v>1275</v>
      </c>
      <c r="AY57">
        <v>53</v>
      </c>
      <c r="BE57" t="s">
        <v>1467</v>
      </c>
      <c r="BF57">
        <v>862</v>
      </c>
      <c r="CG57" t="s">
        <v>210</v>
      </c>
      <c r="CH57">
        <v>1354</v>
      </c>
      <c r="DP57" t="s">
        <v>1400</v>
      </c>
      <c r="DQ57">
        <v>39710</v>
      </c>
      <c r="ED57" t="s">
        <v>425</v>
      </c>
      <c r="EE57">
        <v>1257</v>
      </c>
      <c r="EY57" t="s">
        <v>491</v>
      </c>
      <c r="EZ57">
        <v>1198</v>
      </c>
      <c r="FT57" t="s">
        <v>964</v>
      </c>
      <c r="FU57">
        <v>1180</v>
      </c>
      <c r="GH57" t="s">
        <v>1449</v>
      </c>
      <c r="GI57">
        <v>1156</v>
      </c>
      <c r="HC57" t="s">
        <v>540</v>
      </c>
      <c r="HD57">
        <v>1112</v>
      </c>
      <c r="HQ57" t="s">
        <v>586</v>
      </c>
      <c r="HR57">
        <v>1073</v>
      </c>
      <c r="IZ57" t="s">
        <v>484</v>
      </c>
      <c r="JA57">
        <v>2231</v>
      </c>
      <c r="JU57" t="s">
        <v>1378</v>
      </c>
      <c r="JV57">
        <v>813</v>
      </c>
      <c r="NV57" t="s">
        <v>650</v>
      </c>
      <c r="NW57">
        <v>890</v>
      </c>
    </row>
    <row r="58" spans="43:387">
      <c r="AQ58" t="s">
        <v>1201</v>
      </c>
      <c r="AR58">
        <v>2246</v>
      </c>
      <c r="AX58" t="s">
        <v>480</v>
      </c>
      <c r="AY58">
        <v>331</v>
      </c>
      <c r="BE58" t="s">
        <v>1130</v>
      </c>
      <c r="BF58">
        <v>1384</v>
      </c>
      <c r="CG58" t="s">
        <v>480</v>
      </c>
      <c r="CH58">
        <v>9436</v>
      </c>
      <c r="ED58" t="s">
        <v>480</v>
      </c>
      <c r="EE58">
        <v>22463</v>
      </c>
      <c r="EY58" t="s">
        <v>317</v>
      </c>
      <c r="EZ58">
        <v>1198</v>
      </c>
      <c r="FT58" t="s">
        <v>1293</v>
      </c>
      <c r="FU58">
        <v>1182</v>
      </c>
      <c r="GH58" t="s">
        <v>486</v>
      </c>
      <c r="GI58">
        <v>1152</v>
      </c>
      <c r="HC58" t="s">
        <v>262</v>
      </c>
      <c r="HD58">
        <v>1117</v>
      </c>
      <c r="HQ58" t="s">
        <v>585</v>
      </c>
      <c r="HR58">
        <v>1074</v>
      </c>
      <c r="IZ58" t="s">
        <v>1431</v>
      </c>
      <c r="JA58">
        <v>2231</v>
      </c>
      <c r="JU58" t="s">
        <v>1517</v>
      </c>
      <c r="JV58">
        <v>998</v>
      </c>
      <c r="NV58" t="s">
        <v>667</v>
      </c>
      <c r="NW58">
        <v>886</v>
      </c>
    </row>
    <row r="59" spans="43:387">
      <c r="AQ59" t="s">
        <v>853</v>
      </c>
      <c r="AR59">
        <v>2250</v>
      </c>
      <c r="AX59" t="s">
        <v>974</v>
      </c>
      <c r="AY59">
        <v>56</v>
      </c>
      <c r="BE59" t="s">
        <v>1465</v>
      </c>
      <c r="BF59">
        <v>1381</v>
      </c>
      <c r="CG59" t="s">
        <v>304</v>
      </c>
      <c r="CH59">
        <v>1351</v>
      </c>
      <c r="ED59" t="s">
        <v>576</v>
      </c>
      <c r="EE59">
        <v>1253</v>
      </c>
      <c r="EY59" t="s">
        <v>1400</v>
      </c>
      <c r="EZ59">
        <v>38644</v>
      </c>
      <c r="FT59" t="s">
        <v>614</v>
      </c>
      <c r="FU59">
        <v>1181</v>
      </c>
      <c r="GH59" t="s">
        <v>744</v>
      </c>
      <c r="GI59">
        <v>1152</v>
      </c>
      <c r="HC59" t="s">
        <v>469</v>
      </c>
      <c r="HD59">
        <v>1115</v>
      </c>
      <c r="HQ59" t="s">
        <v>1021</v>
      </c>
      <c r="HR59">
        <v>1075</v>
      </c>
      <c r="IZ59" t="s">
        <v>482</v>
      </c>
      <c r="JA59">
        <v>13361</v>
      </c>
      <c r="JU59" t="s">
        <v>255</v>
      </c>
      <c r="JV59">
        <v>995</v>
      </c>
      <c r="NV59" t="s">
        <v>656</v>
      </c>
      <c r="NW59">
        <v>888</v>
      </c>
    </row>
    <row r="60" spans="43:387">
      <c r="AQ60" t="s">
        <v>1364</v>
      </c>
      <c r="AR60">
        <v>2249</v>
      </c>
      <c r="AX60" t="s">
        <v>105</v>
      </c>
      <c r="AY60">
        <v>55</v>
      </c>
      <c r="BE60" t="s">
        <v>792</v>
      </c>
      <c r="BF60">
        <v>1395</v>
      </c>
      <c r="CG60" t="s">
        <v>1480</v>
      </c>
      <c r="CH60">
        <v>1344</v>
      </c>
      <c r="ED60" t="s">
        <v>1163</v>
      </c>
      <c r="EE60">
        <v>1255</v>
      </c>
      <c r="FT60" t="s">
        <v>245</v>
      </c>
      <c r="FU60">
        <v>1177</v>
      </c>
      <c r="GH60" t="s">
        <v>483</v>
      </c>
      <c r="GI60">
        <v>1158</v>
      </c>
      <c r="HC60" t="s">
        <v>878</v>
      </c>
      <c r="HD60">
        <v>1109</v>
      </c>
      <c r="HQ60" t="s">
        <v>487</v>
      </c>
      <c r="HR60">
        <v>1067</v>
      </c>
      <c r="IZ60" t="s">
        <v>1430</v>
      </c>
      <c r="JA60">
        <v>2226</v>
      </c>
      <c r="JU60" t="s">
        <v>1384</v>
      </c>
      <c r="JV60">
        <v>814</v>
      </c>
      <c r="NV60" t="s">
        <v>658</v>
      </c>
      <c r="NW60">
        <v>892</v>
      </c>
    </row>
    <row r="61" spans="43:387">
      <c r="AQ61" t="s">
        <v>387</v>
      </c>
      <c r="AR61">
        <v>2036</v>
      </c>
      <c r="AX61" t="s">
        <v>450</v>
      </c>
      <c r="AY61">
        <v>54</v>
      </c>
      <c r="BE61" t="s">
        <v>488</v>
      </c>
      <c r="BF61">
        <v>8288</v>
      </c>
      <c r="CG61" t="s">
        <v>1104</v>
      </c>
      <c r="CH61">
        <v>1350</v>
      </c>
      <c r="ED61" t="s">
        <v>1535</v>
      </c>
      <c r="EE61">
        <v>1242</v>
      </c>
      <c r="FT61" t="s">
        <v>1123</v>
      </c>
      <c r="FU61">
        <v>1176</v>
      </c>
      <c r="GH61" t="s">
        <v>748</v>
      </c>
      <c r="GI61">
        <v>1158</v>
      </c>
      <c r="HC61" t="s">
        <v>1174</v>
      </c>
      <c r="HD61">
        <v>1108</v>
      </c>
      <c r="HQ61" t="s">
        <v>523</v>
      </c>
      <c r="HR61">
        <v>1067</v>
      </c>
      <c r="IZ61" t="s">
        <v>446</v>
      </c>
      <c r="JA61">
        <v>2228</v>
      </c>
      <c r="JU61" t="s">
        <v>256</v>
      </c>
      <c r="JV61">
        <v>782</v>
      </c>
      <c r="NV61" t="s">
        <v>660</v>
      </c>
      <c r="NW61">
        <v>887</v>
      </c>
    </row>
    <row r="62" spans="43:387">
      <c r="AQ62" t="s">
        <v>1081</v>
      </c>
      <c r="AR62">
        <v>2036</v>
      </c>
      <c r="AX62" t="s">
        <v>1559</v>
      </c>
      <c r="AY62">
        <v>57</v>
      </c>
      <c r="BE62" t="s">
        <v>830</v>
      </c>
      <c r="BF62">
        <v>1388</v>
      </c>
      <c r="CG62" t="s">
        <v>1481</v>
      </c>
      <c r="CH62">
        <v>1353</v>
      </c>
      <c r="ED62" t="s">
        <v>394</v>
      </c>
      <c r="EE62">
        <v>1246</v>
      </c>
      <c r="FT62" t="s">
        <v>480</v>
      </c>
      <c r="FU62">
        <v>10550</v>
      </c>
      <c r="GH62" t="s">
        <v>489</v>
      </c>
      <c r="GI62">
        <v>1151</v>
      </c>
      <c r="HC62" t="s">
        <v>266</v>
      </c>
      <c r="HD62">
        <v>1120</v>
      </c>
      <c r="HQ62" t="s">
        <v>488</v>
      </c>
      <c r="HR62">
        <v>1068</v>
      </c>
      <c r="IZ62" t="s">
        <v>1253</v>
      </c>
      <c r="JA62">
        <v>2229</v>
      </c>
      <c r="JU62" t="s">
        <v>1610</v>
      </c>
      <c r="JV62">
        <v>780</v>
      </c>
      <c r="NV62" t="s">
        <v>489</v>
      </c>
      <c r="NW62">
        <v>7944</v>
      </c>
    </row>
    <row r="63" spans="43:387">
      <c r="AQ63" t="s">
        <v>386</v>
      </c>
      <c r="AR63">
        <v>5658</v>
      </c>
      <c r="AX63" t="s">
        <v>160</v>
      </c>
      <c r="AY63">
        <v>58</v>
      </c>
      <c r="BE63" t="s">
        <v>1463</v>
      </c>
      <c r="BF63">
        <v>1378</v>
      </c>
      <c r="CG63" t="s">
        <v>305</v>
      </c>
      <c r="CH63">
        <v>1345</v>
      </c>
      <c r="ED63" t="s">
        <v>1154</v>
      </c>
      <c r="EE63">
        <v>1245</v>
      </c>
      <c r="FT63" t="s">
        <v>1122</v>
      </c>
      <c r="FU63">
        <v>1173</v>
      </c>
      <c r="GH63" t="s">
        <v>967</v>
      </c>
      <c r="GI63">
        <v>1151</v>
      </c>
      <c r="HC63" t="s">
        <v>488</v>
      </c>
      <c r="HD63">
        <v>9927</v>
      </c>
      <c r="HQ63" t="s">
        <v>850</v>
      </c>
      <c r="HR63">
        <v>1068</v>
      </c>
      <c r="IZ63" t="s">
        <v>1434</v>
      </c>
      <c r="JA63">
        <v>2227</v>
      </c>
      <c r="JU63" t="s">
        <v>1519</v>
      </c>
      <c r="JV63">
        <v>996</v>
      </c>
      <c r="NV63" t="s">
        <v>651</v>
      </c>
      <c r="NW63">
        <v>878</v>
      </c>
    </row>
    <row r="64" spans="43:387">
      <c r="AQ64" t="s">
        <v>1600</v>
      </c>
      <c r="AR64">
        <v>1877</v>
      </c>
      <c r="AX64" t="s">
        <v>307</v>
      </c>
      <c r="AY64">
        <v>51</v>
      </c>
      <c r="BE64" t="s">
        <v>498</v>
      </c>
      <c r="BF64">
        <v>1380</v>
      </c>
      <c r="CG64" t="s">
        <v>271</v>
      </c>
      <c r="CH64">
        <v>1347</v>
      </c>
      <c r="ED64" t="s">
        <v>716</v>
      </c>
      <c r="EE64">
        <v>1238</v>
      </c>
      <c r="FT64" t="s">
        <v>549</v>
      </c>
      <c r="FU64">
        <v>1175</v>
      </c>
      <c r="GH64" t="s">
        <v>1400</v>
      </c>
      <c r="GI64">
        <v>54519</v>
      </c>
      <c r="HC64" t="s">
        <v>703</v>
      </c>
      <c r="HD64">
        <v>1100</v>
      </c>
      <c r="HQ64" t="s">
        <v>1400</v>
      </c>
      <c r="HR64">
        <v>44098</v>
      </c>
      <c r="IZ64" t="s">
        <v>1140</v>
      </c>
      <c r="JA64">
        <v>2230</v>
      </c>
      <c r="JU64" t="s">
        <v>496</v>
      </c>
      <c r="JV64">
        <v>999</v>
      </c>
      <c r="NV64" t="s">
        <v>652</v>
      </c>
      <c r="NW64">
        <v>877</v>
      </c>
    </row>
    <row r="65" spans="43:387">
      <c r="AQ65" t="s">
        <v>940</v>
      </c>
      <c r="AR65">
        <v>1881</v>
      </c>
      <c r="AX65" t="s">
        <v>488</v>
      </c>
      <c r="AY65">
        <v>59</v>
      </c>
      <c r="BE65" t="s">
        <v>1466</v>
      </c>
      <c r="BF65">
        <v>1377</v>
      </c>
      <c r="CG65" t="s">
        <v>202</v>
      </c>
      <c r="CH65">
        <v>1346</v>
      </c>
      <c r="ED65" t="s">
        <v>1268</v>
      </c>
      <c r="EE65">
        <v>1248</v>
      </c>
      <c r="FT65" t="s">
        <v>99</v>
      </c>
      <c r="FU65">
        <v>1174</v>
      </c>
      <c r="HC65" t="s">
        <v>1355</v>
      </c>
      <c r="HD65">
        <v>1104</v>
      </c>
      <c r="IZ65" t="s">
        <v>1437</v>
      </c>
      <c r="JA65">
        <v>2221</v>
      </c>
      <c r="JU65" t="s">
        <v>1522</v>
      </c>
      <c r="JV65">
        <v>781</v>
      </c>
      <c r="NV65" t="s">
        <v>1438</v>
      </c>
      <c r="NW65">
        <v>889</v>
      </c>
    </row>
    <row r="66" spans="43:387">
      <c r="AQ66" t="s">
        <v>727</v>
      </c>
      <c r="AR66">
        <v>1900</v>
      </c>
      <c r="AX66" t="s">
        <v>593</v>
      </c>
      <c r="AY66">
        <v>59</v>
      </c>
      <c r="BE66" t="s">
        <v>1134</v>
      </c>
      <c r="BF66">
        <v>1379</v>
      </c>
      <c r="CG66" t="s">
        <v>488</v>
      </c>
      <c r="CH66">
        <v>8063</v>
      </c>
      <c r="ED66" t="s">
        <v>1157</v>
      </c>
      <c r="EE66">
        <v>1252</v>
      </c>
      <c r="FT66" t="s">
        <v>109</v>
      </c>
      <c r="FU66">
        <v>1178</v>
      </c>
      <c r="HC66" t="s">
        <v>263</v>
      </c>
      <c r="HD66">
        <v>1105</v>
      </c>
      <c r="IZ66" t="s">
        <v>387</v>
      </c>
      <c r="JA66">
        <v>6105</v>
      </c>
      <c r="JU66" t="s">
        <v>483</v>
      </c>
      <c r="JV66">
        <v>4345</v>
      </c>
      <c r="NV66" t="s">
        <v>539</v>
      </c>
      <c r="NW66">
        <v>883</v>
      </c>
    </row>
    <row r="67" spans="43:387">
      <c r="AQ67" t="s">
        <v>1302</v>
      </c>
      <c r="AR67">
        <v>13885</v>
      </c>
      <c r="AX67" t="s">
        <v>486</v>
      </c>
      <c r="AY67">
        <v>311</v>
      </c>
      <c r="BE67" t="s">
        <v>1131</v>
      </c>
      <c r="BF67">
        <v>1386</v>
      </c>
      <c r="CG67" t="s">
        <v>187</v>
      </c>
      <c r="CH67">
        <v>1341</v>
      </c>
      <c r="ED67" t="s">
        <v>832</v>
      </c>
      <c r="EE67">
        <v>1237</v>
      </c>
      <c r="FT67" t="s">
        <v>555</v>
      </c>
      <c r="FU67">
        <v>1172</v>
      </c>
      <c r="HC67" t="s">
        <v>876</v>
      </c>
      <c r="HD67">
        <v>1103</v>
      </c>
      <c r="IZ67" t="s">
        <v>1375</v>
      </c>
      <c r="JA67">
        <v>2033</v>
      </c>
      <c r="JU67" t="s">
        <v>1609</v>
      </c>
      <c r="JV67">
        <v>767</v>
      </c>
      <c r="NV67" t="s">
        <v>655</v>
      </c>
      <c r="NW67">
        <v>882</v>
      </c>
    </row>
    <row r="68" spans="43:387">
      <c r="AQ68" t="s">
        <v>1322</v>
      </c>
      <c r="AR68">
        <v>1745</v>
      </c>
      <c r="AX68" t="s">
        <v>1613</v>
      </c>
      <c r="AY68">
        <v>311</v>
      </c>
      <c r="BE68" t="s">
        <v>486</v>
      </c>
      <c r="BF68">
        <v>5498</v>
      </c>
      <c r="CG68" t="s">
        <v>243</v>
      </c>
      <c r="CH68">
        <v>1342</v>
      </c>
      <c r="ED68" t="s">
        <v>808</v>
      </c>
      <c r="EE68">
        <v>1239</v>
      </c>
      <c r="FT68" t="s">
        <v>870</v>
      </c>
      <c r="FU68">
        <v>1169</v>
      </c>
      <c r="HC68" t="s">
        <v>1330</v>
      </c>
      <c r="HD68">
        <v>1102</v>
      </c>
      <c r="IZ68" t="s">
        <v>1397</v>
      </c>
      <c r="JA68">
        <v>2034</v>
      </c>
      <c r="JU68" t="s">
        <v>1516</v>
      </c>
      <c r="JV68">
        <v>992</v>
      </c>
      <c r="NV68" t="s">
        <v>199</v>
      </c>
      <c r="NW68">
        <v>881</v>
      </c>
    </row>
    <row r="69" spans="43:387">
      <c r="AQ69" t="s">
        <v>416</v>
      </c>
      <c r="AR69">
        <v>1748</v>
      </c>
      <c r="AX69" t="s">
        <v>1301</v>
      </c>
      <c r="AY69">
        <v>956</v>
      </c>
      <c r="BE69" t="s">
        <v>1127</v>
      </c>
      <c r="BF69">
        <v>1376</v>
      </c>
      <c r="CG69" t="s">
        <v>190</v>
      </c>
      <c r="CH69">
        <v>1340</v>
      </c>
      <c r="ED69" t="s">
        <v>1534</v>
      </c>
      <c r="EE69">
        <v>1243</v>
      </c>
      <c r="FT69" t="s">
        <v>140</v>
      </c>
      <c r="FU69">
        <v>1171</v>
      </c>
      <c r="HC69" t="s">
        <v>265</v>
      </c>
      <c r="HD69">
        <v>1106</v>
      </c>
      <c r="IZ69" t="s">
        <v>1435</v>
      </c>
      <c r="JA69">
        <v>2038</v>
      </c>
      <c r="JU69" t="s">
        <v>998</v>
      </c>
      <c r="JV69">
        <v>807</v>
      </c>
      <c r="NV69" t="s">
        <v>659</v>
      </c>
      <c r="NW69">
        <v>879</v>
      </c>
    </row>
    <row r="70" spans="43:387">
      <c r="AQ70" t="s">
        <v>724</v>
      </c>
      <c r="AR70">
        <v>1746</v>
      </c>
      <c r="AX70" t="s">
        <v>133</v>
      </c>
      <c r="AY70">
        <v>34</v>
      </c>
      <c r="BE70" t="s">
        <v>788</v>
      </c>
      <c r="BF70">
        <v>1375</v>
      </c>
      <c r="CG70" t="s">
        <v>200</v>
      </c>
      <c r="CH70">
        <v>1343</v>
      </c>
      <c r="ED70" t="s">
        <v>1044</v>
      </c>
      <c r="EE70">
        <v>1265</v>
      </c>
      <c r="FT70" t="s">
        <v>1010</v>
      </c>
      <c r="FU70">
        <v>1170</v>
      </c>
      <c r="HC70" t="s">
        <v>267</v>
      </c>
      <c r="HD70">
        <v>1107</v>
      </c>
      <c r="IZ70" t="s">
        <v>386</v>
      </c>
      <c r="JA70">
        <v>1879</v>
      </c>
      <c r="JU70" t="s">
        <v>1379</v>
      </c>
      <c r="JV70">
        <v>786</v>
      </c>
      <c r="NV70" t="s">
        <v>668</v>
      </c>
      <c r="NW70">
        <v>891</v>
      </c>
    </row>
    <row r="71" spans="43:387">
      <c r="AQ71" t="s">
        <v>565</v>
      </c>
      <c r="AR71">
        <v>1747</v>
      </c>
      <c r="AX71" t="s">
        <v>1006</v>
      </c>
      <c r="AY71">
        <v>283</v>
      </c>
      <c r="BE71" t="s">
        <v>204</v>
      </c>
      <c r="BF71">
        <v>1374</v>
      </c>
      <c r="CG71" t="s">
        <v>201</v>
      </c>
      <c r="CH71">
        <v>1349</v>
      </c>
      <c r="ED71" t="s">
        <v>232</v>
      </c>
      <c r="EE71">
        <v>1254</v>
      </c>
      <c r="FT71" t="s">
        <v>1551</v>
      </c>
      <c r="FU71">
        <v>1168</v>
      </c>
      <c r="HC71" t="s">
        <v>471</v>
      </c>
      <c r="HD71">
        <v>1101</v>
      </c>
      <c r="IZ71" t="s">
        <v>1028</v>
      </c>
      <c r="JA71">
        <v>1879</v>
      </c>
      <c r="JU71" t="s">
        <v>1515</v>
      </c>
      <c r="JV71">
        <v>993</v>
      </c>
      <c r="NV71" t="s">
        <v>664</v>
      </c>
      <c r="NW71">
        <v>884</v>
      </c>
    </row>
    <row r="72" spans="43:387">
      <c r="AQ72" t="s">
        <v>1311</v>
      </c>
      <c r="AR72">
        <v>1749</v>
      </c>
      <c r="AX72" t="s">
        <v>104</v>
      </c>
      <c r="AY72">
        <v>35</v>
      </c>
      <c r="BE72" t="s">
        <v>623</v>
      </c>
      <c r="BF72">
        <v>1373</v>
      </c>
      <c r="CG72" t="s">
        <v>301</v>
      </c>
      <c r="CH72">
        <v>1348</v>
      </c>
      <c r="ED72" t="s">
        <v>426</v>
      </c>
      <c r="EE72">
        <v>1244</v>
      </c>
      <c r="FT72" t="s">
        <v>488</v>
      </c>
      <c r="FU72">
        <v>3170</v>
      </c>
      <c r="HC72" t="s">
        <v>560</v>
      </c>
      <c r="HD72">
        <v>1099</v>
      </c>
      <c r="IZ72" t="s">
        <v>1302</v>
      </c>
      <c r="JA72">
        <v>3441</v>
      </c>
      <c r="JU72" t="s">
        <v>485</v>
      </c>
      <c r="JV72">
        <v>991</v>
      </c>
      <c r="NV72" t="s">
        <v>487</v>
      </c>
      <c r="NW72">
        <v>3459</v>
      </c>
    </row>
    <row r="73" spans="43:387">
      <c r="AQ73" t="s">
        <v>728</v>
      </c>
      <c r="AR73">
        <v>1699</v>
      </c>
      <c r="AX73" t="s">
        <v>1210</v>
      </c>
      <c r="AY73">
        <v>41</v>
      </c>
      <c r="BE73" t="s">
        <v>489</v>
      </c>
      <c r="BF73">
        <v>4113</v>
      </c>
      <c r="CG73" t="s">
        <v>486</v>
      </c>
      <c r="CH73">
        <v>2677</v>
      </c>
      <c r="ED73" t="s">
        <v>765</v>
      </c>
      <c r="EE73">
        <v>1250</v>
      </c>
      <c r="FT73" t="s">
        <v>923</v>
      </c>
      <c r="FU73">
        <v>837</v>
      </c>
      <c r="HC73" t="s">
        <v>486</v>
      </c>
      <c r="HD73">
        <v>3291</v>
      </c>
      <c r="IZ73" t="s">
        <v>1432</v>
      </c>
      <c r="JA73">
        <v>1720</v>
      </c>
      <c r="JU73" t="s">
        <v>1377</v>
      </c>
      <c r="JV73">
        <v>991</v>
      </c>
      <c r="NV73" t="s">
        <v>649</v>
      </c>
      <c r="NW73">
        <v>828</v>
      </c>
    </row>
    <row r="74" spans="43:387">
      <c r="AQ74" t="s">
        <v>1272</v>
      </c>
      <c r="AR74">
        <v>1744</v>
      </c>
      <c r="AX74" t="s">
        <v>962</v>
      </c>
      <c r="AY74">
        <v>39</v>
      </c>
      <c r="BE74" t="s">
        <v>1133</v>
      </c>
      <c r="BF74">
        <v>1372</v>
      </c>
      <c r="CG74" t="s">
        <v>1380</v>
      </c>
      <c r="CH74">
        <v>1338</v>
      </c>
      <c r="ED74" t="s">
        <v>419</v>
      </c>
      <c r="EE74">
        <v>1241</v>
      </c>
      <c r="FT74" t="s">
        <v>141</v>
      </c>
      <c r="FU74">
        <v>1167</v>
      </c>
      <c r="HC74" t="s">
        <v>1288</v>
      </c>
      <c r="HD74">
        <v>1096</v>
      </c>
      <c r="IZ74" t="s">
        <v>855</v>
      </c>
      <c r="JA74">
        <v>1721</v>
      </c>
      <c r="JU74" t="s">
        <v>480</v>
      </c>
      <c r="JV74">
        <v>990</v>
      </c>
      <c r="NV74" t="s">
        <v>653</v>
      </c>
      <c r="NW74">
        <v>880</v>
      </c>
    </row>
    <row r="75" spans="43:387">
      <c r="AQ75" t="s">
        <v>1273</v>
      </c>
      <c r="AR75">
        <v>1707</v>
      </c>
      <c r="AX75" t="s">
        <v>1561</v>
      </c>
      <c r="AY75">
        <v>42</v>
      </c>
      <c r="BE75" t="s">
        <v>1459</v>
      </c>
      <c r="BF75">
        <v>1370</v>
      </c>
      <c r="CG75" t="s">
        <v>189</v>
      </c>
      <c r="CH75">
        <v>1339</v>
      </c>
      <c r="ED75" t="s">
        <v>1160</v>
      </c>
      <c r="EE75">
        <v>1262</v>
      </c>
      <c r="FT75" t="s">
        <v>1550</v>
      </c>
      <c r="FU75">
        <v>1166</v>
      </c>
      <c r="HC75" t="s">
        <v>264</v>
      </c>
      <c r="HD75">
        <v>1098</v>
      </c>
      <c r="IZ75" t="s">
        <v>388</v>
      </c>
      <c r="JA75">
        <v>8568</v>
      </c>
      <c r="JU75" t="s">
        <v>831</v>
      </c>
      <c r="JV75">
        <v>990</v>
      </c>
      <c r="NV75" t="s">
        <v>654</v>
      </c>
      <c r="NW75">
        <v>875</v>
      </c>
    </row>
    <row r="76" spans="43:387">
      <c r="AQ76" t="s">
        <v>388</v>
      </c>
      <c r="AR76">
        <v>6899</v>
      </c>
      <c r="AX76" t="s">
        <v>111</v>
      </c>
      <c r="AY76">
        <v>36</v>
      </c>
      <c r="BE76" t="s">
        <v>1132</v>
      </c>
      <c r="BF76">
        <v>1371</v>
      </c>
      <c r="CG76" t="s">
        <v>489</v>
      </c>
      <c r="CH76">
        <v>1337</v>
      </c>
      <c r="ED76" t="s">
        <v>1055</v>
      </c>
      <c r="EE76">
        <v>1249</v>
      </c>
      <c r="FT76" t="s">
        <v>486</v>
      </c>
      <c r="FU76">
        <v>1165</v>
      </c>
      <c r="HC76" t="s">
        <v>527</v>
      </c>
      <c r="HD76">
        <v>1097</v>
      </c>
      <c r="IZ76" t="s">
        <v>1396</v>
      </c>
      <c r="JA76">
        <v>1716</v>
      </c>
      <c r="JU76" t="s">
        <v>488</v>
      </c>
      <c r="JV76">
        <v>1671</v>
      </c>
      <c r="NV76" t="s">
        <v>665</v>
      </c>
      <c r="NW76">
        <v>876</v>
      </c>
    </row>
    <row r="77" spans="43:387">
      <c r="AQ77" t="s">
        <v>1314</v>
      </c>
      <c r="AR77">
        <v>1708</v>
      </c>
      <c r="AX77" t="s">
        <v>112</v>
      </c>
      <c r="AY77">
        <v>33</v>
      </c>
      <c r="BE77" t="s">
        <v>387</v>
      </c>
      <c r="BF77">
        <v>2044</v>
      </c>
      <c r="CG77" t="s">
        <v>192</v>
      </c>
      <c r="CH77">
        <v>1337</v>
      </c>
      <c r="ED77" t="s">
        <v>488</v>
      </c>
      <c r="EE77">
        <v>11164</v>
      </c>
      <c r="FT77" t="s">
        <v>613</v>
      </c>
      <c r="FU77">
        <v>1165</v>
      </c>
      <c r="HC77" t="s">
        <v>489</v>
      </c>
      <c r="HD77">
        <v>5465</v>
      </c>
      <c r="IZ77" t="s">
        <v>447</v>
      </c>
      <c r="JA77">
        <v>1718</v>
      </c>
      <c r="JU77" t="s">
        <v>1383</v>
      </c>
      <c r="JV77">
        <v>850</v>
      </c>
      <c r="NV77" t="s">
        <v>490</v>
      </c>
      <c r="NW77">
        <v>865</v>
      </c>
    </row>
    <row r="78" spans="43:387">
      <c r="AQ78" t="s">
        <v>1082</v>
      </c>
      <c r="AR78">
        <v>1706</v>
      </c>
      <c r="AX78" t="s">
        <v>905</v>
      </c>
      <c r="AY78">
        <v>298</v>
      </c>
      <c r="BE78" t="s">
        <v>944</v>
      </c>
      <c r="BF78">
        <v>2044</v>
      </c>
      <c r="CG78" t="s">
        <v>487</v>
      </c>
      <c r="CH78">
        <v>2671</v>
      </c>
      <c r="ED78" t="s">
        <v>167</v>
      </c>
      <c r="EE78">
        <v>1240</v>
      </c>
      <c r="FT78" t="s">
        <v>1302</v>
      </c>
      <c r="FU78">
        <v>1724</v>
      </c>
      <c r="HC78" t="s">
        <v>877</v>
      </c>
      <c r="HD78">
        <v>1093</v>
      </c>
      <c r="IZ78" t="s">
        <v>1243</v>
      </c>
      <c r="JA78">
        <v>1719</v>
      </c>
      <c r="JU78" t="s">
        <v>1521</v>
      </c>
      <c r="JV78">
        <v>821</v>
      </c>
      <c r="NV78" t="s">
        <v>648</v>
      </c>
      <c r="NW78">
        <v>865</v>
      </c>
    </row>
    <row r="79" spans="43:387">
      <c r="AQ79" t="s">
        <v>514</v>
      </c>
      <c r="AR79">
        <v>1742</v>
      </c>
      <c r="AX79" t="s">
        <v>116</v>
      </c>
      <c r="AY79">
        <v>37</v>
      </c>
      <c r="BE79" t="s">
        <v>487</v>
      </c>
      <c r="BF79">
        <v>1369</v>
      </c>
      <c r="CG79" t="s">
        <v>196</v>
      </c>
      <c r="CH79">
        <v>1335</v>
      </c>
      <c r="ED79" t="s">
        <v>518</v>
      </c>
      <c r="EE79">
        <v>1247</v>
      </c>
      <c r="FT79" t="s">
        <v>537</v>
      </c>
      <c r="FU79">
        <v>1724</v>
      </c>
      <c r="HC79" t="s">
        <v>902</v>
      </c>
      <c r="HD79">
        <v>1092</v>
      </c>
      <c r="IZ79" t="s">
        <v>412</v>
      </c>
      <c r="JA79">
        <v>1717</v>
      </c>
      <c r="JU79" t="s">
        <v>486</v>
      </c>
      <c r="JV79">
        <v>2826</v>
      </c>
      <c r="NV79" t="s">
        <v>1400</v>
      </c>
      <c r="NW79">
        <v>40319</v>
      </c>
    </row>
    <row r="80" spans="43:387">
      <c r="AQ80" t="s">
        <v>851</v>
      </c>
      <c r="AR80">
        <v>1743</v>
      </c>
      <c r="AX80" t="s">
        <v>117</v>
      </c>
      <c r="AY80">
        <v>38</v>
      </c>
      <c r="BE80" t="s">
        <v>946</v>
      </c>
      <c r="BF80">
        <v>1369</v>
      </c>
      <c r="CG80" t="s">
        <v>198</v>
      </c>
      <c r="CH80">
        <v>1336</v>
      </c>
      <c r="ED80" t="s">
        <v>1158</v>
      </c>
      <c r="EE80">
        <v>1235</v>
      </c>
      <c r="FT80" t="s">
        <v>1400</v>
      </c>
      <c r="FU80">
        <v>64527</v>
      </c>
      <c r="HC80" t="s">
        <v>917</v>
      </c>
      <c r="HD80">
        <v>1095</v>
      </c>
      <c r="IZ80" t="s">
        <v>1318</v>
      </c>
      <c r="JA80">
        <v>1698</v>
      </c>
      <c r="JU80" t="s">
        <v>886</v>
      </c>
      <c r="JV80">
        <v>989</v>
      </c>
    </row>
    <row r="81" spans="43:282">
      <c r="AQ81" t="s">
        <v>1301</v>
      </c>
      <c r="AR81">
        <v>31163</v>
      </c>
      <c r="AX81" t="s">
        <v>1336</v>
      </c>
      <c r="AY81">
        <v>40</v>
      </c>
      <c r="BE81" t="s">
        <v>1400</v>
      </c>
      <c r="BF81">
        <v>59355</v>
      </c>
      <c r="CG81" t="s">
        <v>490</v>
      </c>
      <c r="CH81">
        <v>1550</v>
      </c>
      <c r="ED81" t="s">
        <v>570</v>
      </c>
      <c r="EE81">
        <v>1236</v>
      </c>
      <c r="HC81" t="s">
        <v>899</v>
      </c>
      <c r="HD81">
        <v>1091</v>
      </c>
      <c r="IZ81" t="s">
        <v>1301</v>
      </c>
      <c r="JA81">
        <v>6219</v>
      </c>
      <c r="JU81" t="s">
        <v>1520</v>
      </c>
      <c r="JV81">
        <v>849</v>
      </c>
    </row>
    <row r="82" spans="43:282">
      <c r="AQ82" t="s">
        <v>92</v>
      </c>
      <c r="AR82">
        <v>1501</v>
      </c>
      <c r="AX82" t="s">
        <v>1302</v>
      </c>
      <c r="AY82">
        <v>7775</v>
      </c>
      <c r="CG82" t="s">
        <v>197</v>
      </c>
      <c r="CH82">
        <v>1550</v>
      </c>
      <c r="ED82" t="s">
        <v>1267</v>
      </c>
      <c r="EE82">
        <v>1232</v>
      </c>
      <c r="HC82" t="s">
        <v>1290</v>
      </c>
      <c r="HD82">
        <v>1094</v>
      </c>
      <c r="IZ82" t="s">
        <v>1343</v>
      </c>
      <c r="JA82">
        <v>1037</v>
      </c>
      <c r="JU82" t="s">
        <v>1356</v>
      </c>
      <c r="JV82">
        <v>988</v>
      </c>
    </row>
    <row r="83" spans="43:282">
      <c r="AQ83" t="s">
        <v>1350</v>
      </c>
      <c r="AR83">
        <v>784</v>
      </c>
      <c r="AX83" t="s">
        <v>452</v>
      </c>
      <c r="AY83">
        <v>1554</v>
      </c>
      <c r="CG83" t="s">
        <v>1400</v>
      </c>
      <c r="CH83">
        <v>61745</v>
      </c>
      <c r="ED83" t="s">
        <v>955</v>
      </c>
      <c r="EE83">
        <v>1233</v>
      </c>
      <c r="HC83" t="s">
        <v>487</v>
      </c>
      <c r="HD83">
        <v>1090</v>
      </c>
      <c r="IZ83" t="s">
        <v>250</v>
      </c>
      <c r="JA83">
        <v>1035</v>
      </c>
      <c r="JU83" t="s">
        <v>1400</v>
      </c>
      <c r="JV83">
        <v>64378</v>
      </c>
    </row>
    <row r="84" spans="43:282">
      <c r="AQ84" t="s">
        <v>1313</v>
      </c>
      <c r="AR84">
        <v>826</v>
      </c>
      <c r="AX84" t="s">
        <v>451</v>
      </c>
      <c r="AY84">
        <v>1553</v>
      </c>
      <c r="ED84" t="s">
        <v>1156</v>
      </c>
      <c r="EE84">
        <v>1234</v>
      </c>
      <c r="HC84" t="s">
        <v>1289</v>
      </c>
      <c r="HD84">
        <v>1090</v>
      </c>
      <c r="IZ84" t="s">
        <v>424</v>
      </c>
      <c r="JA84">
        <v>1034</v>
      </c>
    </row>
    <row r="85" spans="43:282">
      <c r="AQ85" t="s">
        <v>763</v>
      </c>
      <c r="AR85">
        <v>1488</v>
      </c>
      <c r="AX85" t="s">
        <v>137</v>
      </c>
      <c r="AY85">
        <v>1555</v>
      </c>
      <c r="ED85" t="s">
        <v>1077</v>
      </c>
      <c r="EE85">
        <v>1251</v>
      </c>
      <c r="HC85" t="s">
        <v>1302</v>
      </c>
      <c r="HD85">
        <v>1722</v>
      </c>
      <c r="IZ85" t="s">
        <v>1118</v>
      </c>
      <c r="JA85">
        <v>1038</v>
      </c>
    </row>
    <row r="86" spans="43:282">
      <c r="AQ86" t="s">
        <v>235</v>
      </c>
      <c r="AR86">
        <v>1499</v>
      </c>
      <c r="AX86" t="s">
        <v>1208</v>
      </c>
      <c r="AY86">
        <v>1556</v>
      </c>
      <c r="ED86" t="s">
        <v>1030</v>
      </c>
      <c r="EE86">
        <v>1256</v>
      </c>
      <c r="HC86" t="s">
        <v>1472</v>
      </c>
      <c r="HD86">
        <v>1722</v>
      </c>
      <c r="IZ86" t="s">
        <v>1244</v>
      </c>
      <c r="JA86">
        <v>1036</v>
      </c>
    </row>
    <row r="87" spans="43:282">
      <c r="AQ87" t="s">
        <v>1321</v>
      </c>
      <c r="AR87">
        <v>1492</v>
      </c>
      <c r="AX87" t="s">
        <v>1394</v>
      </c>
      <c r="AY87">
        <v>1557</v>
      </c>
      <c r="ED87" t="s">
        <v>486</v>
      </c>
      <c r="EE87">
        <v>2461</v>
      </c>
      <c r="HC87" t="s">
        <v>482</v>
      </c>
      <c r="HD87">
        <v>2233</v>
      </c>
      <c r="IZ87" t="s">
        <v>1283</v>
      </c>
      <c r="JA87">
        <v>1039</v>
      </c>
    </row>
    <row r="88" spans="43:282">
      <c r="AQ88" t="s">
        <v>1594</v>
      </c>
      <c r="AR88">
        <v>1493</v>
      </c>
      <c r="AX88" t="s">
        <v>145</v>
      </c>
      <c r="AY88">
        <v>146125</v>
      </c>
      <c r="ED88" t="s">
        <v>1164</v>
      </c>
      <c r="EE88">
        <v>1230</v>
      </c>
      <c r="HC88" t="s">
        <v>1153</v>
      </c>
      <c r="HD88">
        <v>2233</v>
      </c>
      <c r="IZ88" t="s">
        <v>483</v>
      </c>
      <c r="JA88">
        <v>1853</v>
      </c>
    </row>
    <row r="89" spans="43:282">
      <c r="AQ89" t="s">
        <v>588</v>
      </c>
      <c r="AR89">
        <v>1500</v>
      </c>
      <c r="AX89" t="s">
        <v>484</v>
      </c>
      <c r="AY89">
        <v>2215</v>
      </c>
      <c r="ED89" t="s">
        <v>1162</v>
      </c>
      <c r="EE89">
        <v>1231</v>
      </c>
      <c r="HC89" t="s">
        <v>490</v>
      </c>
      <c r="HD89">
        <v>1960</v>
      </c>
      <c r="IZ89" t="s">
        <v>1344</v>
      </c>
      <c r="JA89">
        <v>820</v>
      </c>
    </row>
    <row r="90" spans="43:282">
      <c r="AQ90" t="s">
        <v>1197</v>
      </c>
      <c r="AR90">
        <v>1490</v>
      </c>
      <c r="AX90" t="s">
        <v>1580</v>
      </c>
      <c r="AY90">
        <v>2215</v>
      </c>
      <c r="ED90" t="s">
        <v>489</v>
      </c>
      <c r="EE90">
        <v>6135</v>
      </c>
      <c r="HC90" t="s">
        <v>261</v>
      </c>
      <c r="HD90">
        <v>1089</v>
      </c>
      <c r="IZ90" t="s">
        <v>802</v>
      </c>
      <c r="JA90">
        <v>1033</v>
      </c>
    </row>
    <row r="91" spans="43:282">
      <c r="AQ91" t="s">
        <v>937</v>
      </c>
      <c r="AR91">
        <v>1496</v>
      </c>
      <c r="AX91" t="s">
        <v>482</v>
      </c>
      <c r="AY91">
        <v>13385</v>
      </c>
      <c r="ED91" t="s">
        <v>679</v>
      </c>
      <c r="EE91">
        <v>1227</v>
      </c>
      <c r="HC91" t="s">
        <v>1474</v>
      </c>
      <c r="HD91">
        <v>871</v>
      </c>
      <c r="IZ91" t="s">
        <v>485</v>
      </c>
      <c r="JA91">
        <v>1032</v>
      </c>
    </row>
    <row r="92" spans="43:282">
      <c r="AQ92" t="s">
        <v>730</v>
      </c>
      <c r="AR92">
        <v>1498</v>
      </c>
      <c r="AX92" t="s">
        <v>1013</v>
      </c>
      <c r="AY92">
        <v>2245</v>
      </c>
      <c r="ED92" t="s">
        <v>575</v>
      </c>
      <c r="EE92">
        <v>1225</v>
      </c>
      <c r="HC92" t="s">
        <v>1400</v>
      </c>
      <c r="HD92">
        <v>62219</v>
      </c>
      <c r="IZ92" t="s">
        <v>633</v>
      </c>
      <c r="JA92">
        <v>1032</v>
      </c>
    </row>
    <row r="93" spans="43:282">
      <c r="AQ93" t="s">
        <v>1198</v>
      </c>
      <c r="AR93">
        <v>857</v>
      </c>
      <c r="AX93" t="s">
        <v>1032</v>
      </c>
      <c r="AY93">
        <v>2244</v>
      </c>
      <c r="ED93" t="s">
        <v>574</v>
      </c>
      <c r="EE93">
        <v>1226</v>
      </c>
      <c r="IZ93" t="s">
        <v>480</v>
      </c>
      <c r="JA93">
        <v>1031</v>
      </c>
    </row>
    <row r="94" spans="43:282">
      <c r="AQ94" t="s">
        <v>1362</v>
      </c>
      <c r="AR94">
        <v>1495</v>
      </c>
      <c r="AX94" t="s">
        <v>1581</v>
      </c>
      <c r="AY94">
        <v>2214</v>
      </c>
      <c r="ED94" t="s">
        <v>457</v>
      </c>
      <c r="EE94">
        <v>1228</v>
      </c>
      <c r="IZ94" t="s">
        <v>750</v>
      </c>
      <c r="JA94">
        <v>1031</v>
      </c>
    </row>
    <row r="95" spans="43:282">
      <c r="AQ95" t="s">
        <v>1352</v>
      </c>
      <c r="AR95">
        <v>1489</v>
      </c>
      <c r="AX95" t="s">
        <v>1213</v>
      </c>
      <c r="AY95">
        <v>2216</v>
      </c>
      <c r="ED95" t="s">
        <v>734</v>
      </c>
      <c r="EE95">
        <v>1229</v>
      </c>
      <c r="IZ95" t="s">
        <v>489</v>
      </c>
      <c r="JA95">
        <v>1816</v>
      </c>
    </row>
    <row r="96" spans="43:282">
      <c r="AQ96" t="s">
        <v>1597</v>
      </c>
      <c r="AR96">
        <v>1497</v>
      </c>
      <c r="AX96" t="s">
        <v>1578</v>
      </c>
      <c r="AY96">
        <v>2223</v>
      </c>
      <c r="ED96" t="s">
        <v>487</v>
      </c>
      <c r="EE96">
        <v>1224</v>
      </c>
      <c r="IZ96" t="s">
        <v>1433</v>
      </c>
      <c r="JA96">
        <v>787</v>
      </c>
    </row>
    <row r="97" spans="43:261">
      <c r="AQ97" t="s">
        <v>1196</v>
      </c>
      <c r="AR97">
        <v>818</v>
      </c>
      <c r="AX97" t="s">
        <v>1052</v>
      </c>
      <c r="AY97">
        <v>2243</v>
      </c>
      <c r="ED97" t="s">
        <v>231</v>
      </c>
      <c r="EE97">
        <v>1224</v>
      </c>
      <c r="IZ97" t="s">
        <v>468</v>
      </c>
      <c r="JA97">
        <v>1029</v>
      </c>
    </row>
    <row r="98" spans="43:261">
      <c r="AQ98" t="s">
        <v>1599</v>
      </c>
      <c r="AR98">
        <v>1487</v>
      </c>
      <c r="AX98" t="s">
        <v>387</v>
      </c>
      <c r="AY98">
        <v>16353</v>
      </c>
      <c r="ED98" t="s">
        <v>1400</v>
      </c>
      <c r="EE98">
        <v>75042</v>
      </c>
      <c r="IZ98" t="s">
        <v>488</v>
      </c>
      <c r="JA98">
        <v>1030</v>
      </c>
    </row>
    <row r="99" spans="43:261">
      <c r="AQ99" t="s">
        <v>852</v>
      </c>
      <c r="AR99">
        <v>819</v>
      </c>
      <c r="AX99" t="s">
        <v>1395</v>
      </c>
      <c r="AY99">
        <v>2047</v>
      </c>
      <c r="IZ99" t="s">
        <v>1436</v>
      </c>
      <c r="JA99">
        <v>1030</v>
      </c>
    </row>
    <row r="100" spans="43:261">
      <c r="AQ100" t="s">
        <v>636</v>
      </c>
      <c r="AR100">
        <v>1491</v>
      </c>
      <c r="AX100" t="s">
        <v>1214</v>
      </c>
      <c r="AY100">
        <v>2046</v>
      </c>
      <c r="IZ100" t="s">
        <v>1400</v>
      </c>
      <c r="JA100">
        <v>94604</v>
      </c>
    </row>
    <row r="101" spans="43:261">
      <c r="AQ101" t="s">
        <v>983</v>
      </c>
      <c r="AR101">
        <v>1486</v>
      </c>
      <c r="AX101" t="s">
        <v>1018</v>
      </c>
      <c r="AY101">
        <v>2048</v>
      </c>
    </row>
    <row r="102" spans="43:261">
      <c r="AQ102" t="s">
        <v>589</v>
      </c>
      <c r="AR102">
        <v>1494</v>
      </c>
      <c r="AX102" t="s">
        <v>845</v>
      </c>
      <c r="AY102">
        <v>2045</v>
      </c>
    </row>
    <row r="103" spans="43:261">
      <c r="AQ103" t="s">
        <v>1393</v>
      </c>
      <c r="AR103">
        <v>856</v>
      </c>
      <c r="AX103" t="s">
        <v>912</v>
      </c>
      <c r="AY103">
        <v>2050</v>
      </c>
    </row>
    <row r="104" spans="43:261">
      <c r="AQ104" t="s">
        <v>96</v>
      </c>
      <c r="AR104">
        <v>822</v>
      </c>
      <c r="AX104" t="s">
        <v>1051</v>
      </c>
      <c r="AY104">
        <v>2031</v>
      </c>
    </row>
    <row r="105" spans="43:261">
      <c r="AQ105" t="s">
        <v>1274</v>
      </c>
      <c r="AR105">
        <v>1485</v>
      </c>
      <c r="AX105" t="s">
        <v>1579</v>
      </c>
      <c r="AY105">
        <v>2037</v>
      </c>
    </row>
    <row r="106" spans="43:261">
      <c r="AQ106" t="s">
        <v>483</v>
      </c>
      <c r="AR106">
        <v>7641</v>
      </c>
      <c r="AX106" t="s">
        <v>1573</v>
      </c>
      <c r="AY106">
        <v>2049</v>
      </c>
    </row>
    <row r="107" spans="43:261">
      <c r="AQ107" t="s">
        <v>637</v>
      </c>
      <c r="AR107">
        <v>1481</v>
      </c>
      <c r="AX107" t="s">
        <v>386</v>
      </c>
      <c r="AY107">
        <v>9465</v>
      </c>
    </row>
    <row r="108" spans="43:261">
      <c r="AQ108" t="s">
        <v>1596</v>
      </c>
      <c r="AR108">
        <v>1484</v>
      </c>
      <c r="AX108" t="s">
        <v>908</v>
      </c>
      <c r="AY108">
        <v>1899</v>
      </c>
    </row>
    <row r="109" spans="43:261">
      <c r="AQ109" t="s">
        <v>729</v>
      </c>
      <c r="AR109">
        <v>860</v>
      </c>
      <c r="AX109" t="s">
        <v>1571</v>
      </c>
      <c r="AY109">
        <v>1897</v>
      </c>
    </row>
    <row r="110" spans="43:261">
      <c r="AQ110" t="s">
        <v>1195</v>
      </c>
      <c r="AR110">
        <v>851</v>
      </c>
      <c r="AX110" t="s">
        <v>543</v>
      </c>
      <c r="AY110">
        <v>1886</v>
      </c>
    </row>
    <row r="111" spans="43:261">
      <c r="AQ111" t="s">
        <v>732</v>
      </c>
      <c r="AR111">
        <v>1483</v>
      </c>
      <c r="AX111" t="s">
        <v>1066</v>
      </c>
      <c r="AY111">
        <v>1898</v>
      </c>
    </row>
    <row r="112" spans="43:261">
      <c r="AQ112" t="s">
        <v>939</v>
      </c>
      <c r="AR112">
        <v>1482</v>
      </c>
      <c r="AX112" t="s">
        <v>1278</v>
      </c>
      <c r="AY112">
        <v>1885</v>
      </c>
    </row>
    <row r="113" spans="43:51">
      <c r="AQ113" t="s">
        <v>485</v>
      </c>
      <c r="AR113">
        <v>18722</v>
      </c>
      <c r="AX113" t="s">
        <v>388</v>
      </c>
      <c r="AY113">
        <v>8660</v>
      </c>
    </row>
    <row r="114" spans="43:51">
      <c r="AQ114" t="s">
        <v>1351</v>
      </c>
      <c r="AR114">
        <v>789</v>
      </c>
      <c r="AX114" t="s">
        <v>913</v>
      </c>
      <c r="AY114">
        <v>1733</v>
      </c>
    </row>
    <row r="115" spans="43:51">
      <c r="AQ115" t="s">
        <v>132</v>
      </c>
      <c r="AR115">
        <v>1477</v>
      </c>
      <c r="AX115" t="s">
        <v>1276</v>
      </c>
      <c r="AY115">
        <v>1731</v>
      </c>
    </row>
    <row r="116" spans="43:51">
      <c r="AQ116" t="s">
        <v>804</v>
      </c>
      <c r="AR116">
        <v>1479</v>
      </c>
      <c r="AX116" t="s">
        <v>842</v>
      </c>
      <c r="AY116">
        <v>1732</v>
      </c>
    </row>
    <row r="117" spans="43:51">
      <c r="AQ117" t="s">
        <v>303</v>
      </c>
      <c r="AR117">
        <v>854</v>
      </c>
      <c r="AX117" t="s">
        <v>911</v>
      </c>
      <c r="AY117">
        <v>1730</v>
      </c>
    </row>
    <row r="118" spans="43:51">
      <c r="AQ118" t="s">
        <v>1335</v>
      </c>
      <c r="AR118">
        <v>1471</v>
      </c>
      <c r="AX118" t="s">
        <v>980</v>
      </c>
      <c r="AY118">
        <v>1734</v>
      </c>
    </row>
    <row r="119" spans="43:51">
      <c r="AQ119" t="s">
        <v>1194</v>
      </c>
      <c r="AR119">
        <v>1469</v>
      </c>
      <c r="AX119" t="s">
        <v>483</v>
      </c>
      <c r="AY119">
        <v>7315</v>
      </c>
    </row>
    <row r="120" spans="43:51">
      <c r="AQ120" t="s">
        <v>418</v>
      </c>
      <c r="AR120">
        <v>1474</v>
      </c>
      <c r="AX120" t="s">
        <v>108</v>
      </c>
      <c r="AY120">
        <v>1434</v>
      </c>
    </row>
    <row r="121" spans="43:51">
      <c r="AQ121" t="s">
        <v>534</v>
      </c>
      <c r="AR121">
        <v>1480</v>
      </c>
      <c r="AX121" t="s">
        <v>1577</v>
      </c>
      <c r="AY121">
        <v>1581</v>
      </c>
    </row>
    <row r="122" spans="43:51">
      <c r="AQ122" t="s">
        <v>244</v>
      </c>
      <c r="AR122">
        <v>1473</v>
      </c>
      <c r="AX122" t="s">
        <v>791</v>
      </c>
      <c r="AY122">
        <v>1435</v>
      </c>
    </row>
    <row r="123" spans="43:51">
      <c r="AQ123" t="s">
        <v>291</v>
      </c>
      <c r="AR123">
        <v>1476</v>
      </c>
      <c r="AX123" t="s">
        <v>1408</v>
      </c>
      <c r="AY123">
        <v>1432</v>
      </c>
    </row>
    <row r="124" spans="43:51">
      <c r="AQ124" t="s">
        <v>569</v>
      </c>
      <c r="AR124">
        <v>1478</v>
      </c>
      <c r="AX124" t="s">
        <v>1365</v>
      </c>
      <c r="AY124">
        <v>1433</v>
      </c>
    </row>
    <row r="125" spans="43:51">
      <c r="AQ125" t="s">
        <v>1025</v>
      </c>
      <c r="AR125">
        <v>855</v>
      </c>
      <c r="AX125" t="s">
        <v>485</v>
      </c>
      <c r="AY125">
        <v>16053</v>
      </c>
    </row>
    <row r="126" spans="43:51">
      <c r="AQ126" t="s">
        <v>938</v>
      </c>
      <c r="AR126">
        <v>1475</v>
      </c>
      <c r="AX126" t="s">
        <v>1614</v>
      </c>
      <c r="AY126">
        <v>776</v>
      </c>
    </row>
    <row r="127" spans="43:51">
      <c r="AQ127" t="s">
        <v>460</v>
      </c>
      <c r="AR127">
        <v>1472</v>
      </c>
      <c r="AX127" t="s">
        <v>1615</v>
      </c>
      <c r="AY127">
        <v>778</v>
      </c>
    </row>
    <row r="128" spans="43:51">
      <c r="AQ128" t="s">
        <v>480</v>
      </c>
      <c r="AR128">
        <v>7336</v>
      </c>
      <c r="AX128" t="s">
        <v>107</v>
      </c>
      <c r="AY128">
        <v>1431</v>
      </c>
    </row>
    <row r="129" spans="43:51">
      <c r="AQ129" t="s">
        <v>984</v>
      </c>
      <c r="AR129">
        <v>1465</v>
      </c>
      <c r="AX129" t="s">
        <v>1007</v>
      </c>
      <c r="AY129">
        <v>1429</v>
      </c>
    </row>
    <row r="130" spans="43:51">
      <c r="AQ130" t="s">
        <v>503</v>
      </c>
      <c r="AR130">
        <v>1467</v>
      </c>
      <c r="AX130" t="s">
        <v>1220</v>
      </c>
      <c r="AY130">
        <v>1424</v>
      </c>
    </row>
    <row r="131" spans="43:51">
      <c r="AQ131" t="s">
        <v>1598</v>
      </c>
      <c r="AR131">
        <v>1466</v>
      </c>
      <c r="AX131" t="s">
        <v>1000</v>
      </c>
      <c r="AY131">
        <v>1436</v>
      </c>
    </row>
    <row r="132" spans="43:51">
      <c r="AQ132" t="s">
        <v>95</v>
      </c>
      <c r="AR132">
        <v>1470</v>
      </c>
      <c r="AX132" t="s">
        <v>839</v>
      </c>
      <c r="AY132">
        <v>829</v>
      </c>
    </row>
    <row r="133" spans="43:51">
      <c r="AQ133" t="s">
        <v>513</v>
      </c>
      <c r="AR133">
        <v>1468</v>
      </c>
      <c r="AX133" t="s">
        <v>910</v>
      </c>
      <c r="AY133">
        <v>817</v>
      </c>
    </row>
    <row r="134" spans="43:51">
      <c r="AQ134" t="s">
        <v>488</v>
      </c>
      <c r="AR134">
        <v>10477</v>
      </c>
      <c r="AX134" t="s">
        <v>1078</v>
      </c>
      <c r="AY134">
        <v>1430</v>
      </c>
    </row>
    <row r="135" spans="43:51">
      <c r="AQ135" t="s">
        <v>91</v>
      </c>
      <c r="AR135">
        <v>1464</v>
      </c>
      <c r="AX135" t="s">
        <v>1277</v>
      </c>
      <c r="AY135">
        <v>1427</v>
      </c>
    </row>
    <row r="136" spans="43:51">
      <c r="AQ136" t="s">
        <v>1593</v>
      </c>
      <c r="AR136">
        <v>1462</v>
      </c>
      <c r="AX136" t="s">
        <v>843</v>
      </c>
      <c r="AY136">
        <v>1423</v>
      </c>
    </row>
    <row r="137" spans="43:51">
      <c r="AQ137" t="s">
        <v>533</v>
      </c>
      <c r="AR137">
        <v>852</v>
      </c>
      <c r="AX137" t="s">
        <v>840</v>
      </c>
      <c r="AY137">
        <v>1425</v>
      </c>
    </row>
    <row r="138" spans="43:51">
      <c r="AQ138" t="s">
        <v>1026</v>
      </c>
      <c r="AR138">
        <v>1459</v>
      </c>
      <c r="AX138" t="s">
        <v>979</v>
      </c>
      <c r="AY138">
        <v>1428</v>
      </c>
    </row>
    <row r="139" spans="43:51">
      <c r="AQ139" t="s">
        <v>801</v>
      </c>
      <c r="AR139">
        <v>1458</v>
      </c>
      <c r="AX139" t="s">
        <v>480</v>
      </c>
      <c r="AY139">
        <v>13726</v>
      </c>
    </row>
    <row r="140" spans="43:51">
      <c r="AQ140" t="s">
        <v>1595</v>
      </c>
      <c r="AR140">
        <v>1460</v>
      </c>
      <c r="AX140" t="s">
        <v>1616</v>
      </c>
      <c r="AY140">
        <v>779</v>
      </c>
    </row>
    <row r="141" spans="43:51">
      <c r="AQ141" t="s">
        <v>590</v>
      </c>
      <c r="AR141">
        <v>859</v>
      </c>
      <c r="AX141" t="s">
        <v>841</v>
      </c>
      <c r="AY141">
        <v>1415</v>
      </c>
    </row>
    <row r="142" spans="43:51">
      <c r="AQ142" t="s">
        <v>811</v>
      </c>
      <c r="AR142">
        <v>1463</v>
      </c>
      <c r="AX142" t="s">
        <v>1617</v>
      </c>
      <c r="AY142">
        <v>777</v>
      </c>
    </row>
    <row r="143" spans="43:51">
      <c r="AQ143" t="s">
        <v>486</v>
      </c>
      <c r="AR143">
        <v>3771</v>
      </c>
      <c r="AX143" t="s">
        <v>110</v>
      </c>
      <c r="AY143">
        <v>830</v>
      </c>
    </row>
    <row r="144" spans="43:51">
      <c r="AQ144" t="s">
        <v>867</v>
      </c>
      <c r="AR144">
        <v>1461</v>
      </c>
      <c r="AX144" t="s">
        <v>551</v>
      </c>
      <c r="AY144">
        <v>1417</v>
      </c>
    </row>
    <row r="145" spans="43:51">
      <c r="AQ145" t="s">
        <v>288</v>
      </c>
      <c r="AR145">
        <v>853</v>
      </c>
      <c r="AX145" t="s">
        <v>1216</v>
      </c>
      <c r="AY145">
        <v>1421</v>
      </c>
    </row>
    <row r="146" spans="43:51">
      <c r="AQ146" t="s">
        <v>798</v>
      </c>
      <c r="AR146">
        <v>1457</v>
      </c>
      <c r="AX146" t="s">
        <v>1570</v>
      </c>
      <c r="AY146">
        <v>1416</v>
      </c>
    </row>
    <row r="147" spans="43:51">
      <c r="AQ147" t="s">
        <v>489</v>
      </c>
      <c r="AR147">
        <v>2911</v>
      </c>
      <c r="AX147" t="s">
        <v>963</v>
      </c>
      <c r="AY147">
        <v>1418</v>
      </c>
    </row>
    <row r="148" spans="43:51">
      <c r="AQ148" t="s">
        <v>725</v>
      </c>
      <c r="AR148">
        <v>1456</v>
      </c>
      <c r="AX148" t="s">
        <v>121</v>
      </c>
      <c r="AY148">
        <v>1426</v>
      </c>
    </row>
    <row r="149" spans="43:51">
      <c r="AQ149" t="s">
        <v>561</v>
      </c>
      <c r="AR149">
        <v>1455</v>
      </c>
      <c r="AX149" t="s">
        <v>594</v>
      </c>
      <c r="AY149">
        <v>1413</v>
      </c>
    </row>
    <row r="150" spans="43:51">
      <c r="AQ150" t="s">
        <v>487</v>
      </c>
      <c r="AR150">
        <v>2907</v>
      </c>
      <c r="AX150" t="s">
        <v>393</v>
      </c>
      <c r="AY150">
        <v>1414</v>
      </c>
    </row>
    <row r="151" spans="43:51">
      <c r="AQ151" t="s">
        <v>214</v>
      </c>
      <c r="AR151">
        <v>1453</v>
      </c>
      <c r="AX151" t="s">
        <v>488</v>
      </c>
      <c r="AY151">
        <v>15524</v>
      </c>
    </row>
    <row r="152" spans="43:51">
      <c r="AQ152" t="s">
        <v>174</v>
      </c>
      <c r="AR152">
        <v>1454</v>
      </c>
      <c r="AX152" t="s">
        <v>459</v>
      </c>
      <c r="AY152">
        <v>1404</v>
      </c>
    </row>
    <row r="153" spans="43:51">
      <c r="AQ153" t="s">
        <v>490</v>
      </c>
      <c r="AR153">
        <v>1549</v>
      </c>
      <c r="AX153" t="s">
        <v>556</v>
      </c>
      <c r="AY153">
        <v>1407</v>
      </c>
    </row>
    <row r="154" spans="43:51">
      <c r="AQ154" t="s">
        <v>1363</v>
      </c>
      <c r="AR154">
        <v>1549</v>
      </c>
      <c r="AX154" t="s">
        <v>512</v>
      </c>
      <c r="AY154">
        <v>1405</v>
      </c>
    </row>
    <row r="155" spans="43:51">
      <c r="AQ155" t="s">
        <v>1400</v>
      </c>
      <c r="AR155">
        <v>154265</v>
      </c>
      <c r="AX155" t="s">
        <v>194</v>
      </c>
      <c r="AY155">
        <v>1408</v>
      </c>
    </row>
    <row r="156" spans="43:51">
      <c r="AX156" t="s">
        <v>456</v>
      </c>
      <c r="AY156">
        <v>1410</v>
      </c>
    </row>
    <row r="157" spans="43:51">
      <c r="AX157" t="s">
        <v>114</v>
      </c>
      <c r="AY157">
        <v>1411</v>
      </c>
    </row>
    <row r="158" spans="43:51">
      <c r="AX158" t="s">
        <v>115</v>
      </c>
      <c r="AY158">
        <v>1422</v>
      </c>
    </row>
    <row r="159" spans="43:51">
      <c r="AX159" t="s">
        <v>455</v>
      </c>
      <c r="AY159">
        <v>1412</v>
      </c>
    </row>
    <row r="160" spans="43:51">
      <c r="AX160" t="s">
        <v>520</v>
      </c>
      <c r="AY160">
        <v>1419</v>
      </c>
    </row>
    <row r="161" spans="50:51">
      <c r="AX161" t="s">
        <v>1215</v>
      </c>
      <c r="AY161">
        <v>1420</v>
      </c>
    </row>
    <row r="162" spans="50:51">
      <c r="AX162" t="s">
        <v>1348</v>
      </c>
      <c r="AY162">
        <v>1406</v>
      </c>
    </row>
    <row r="163" spans="50:51">
      <c r="AX163" t="s">
        <v>486</v>
      </c>
      <c r="AY163">
        <v>5615</v>
      </c>
    </row>
    <row r="164" spans="50:51">
      <c r="AX164" t="s">
        <v>405</v>
      </c>
      <c r="AY164">
        <v>1409</v>
      </c>
    </row>
    <row r="165" spans="50:51">
      <c r="AX165" t="s">
        <v>564</v>
      </c>
      <c r="AY165">
        <v>1401</v>
      </c>
    </row>
    <row r="166" spans="50:51">
      <c r="AX166" t="s">
        <v>136</v>
      </c>
      <c r="AY166">
        <v>1402</v>
      </c>
    </row>
    <row r="167" spans="50:51">
      <c r="AX167" t="s">
        <v>175</v>
      </c>
      <c r="AY167">
        <v>1403</v>
      </c>
    </row>
    <row r="168" spans="50:51">
      <c r="AX168" t="s">
        <v>1301</v>
      </c>
      <c r="AY168">
        <v>23943</v>
      </c>
    </row>
    <row r="169" spans="50:51">
      <c r="AX169" t="s">
        <v>1574</v>
      </c>
      <c r="AY169">
        <v>1442</v>
      </c>
    </row>
    <row r="170" spans="50:51">
      <c r="AX170" t="s">
        <v>909</v>
      </c>
      <c r="AY170">
        <v>1439</v>
      </c>
    </row>
    <row r="171" spans="50:51">
      <c r="AX171" t="s">
        <v>453</v>
      </c>
      <c r="AY171">
        <v>1440</v>
      </c>
    </row>
    <row r="172" spans="50:51">
      <c r="AX172" t="s">
        <v>1219</v>
      </c>
      <c r="AY172">
        <v>1437</v>
      </c>
    </row>
    <row r="173" spans="50:51">
      <c r="AX173" t="s">
        <v>1338</v>
      </c>
      <c r="AY173">
        <v>1443</v>
      </c>
    </row>
    <row r="174" spans="50:51">
      <c r="AX174" t="s">
        <v>1575</v>
      </c>
      <c r="AY174">
        <v>1441</v>
      </c>
    </row>
    <row r="175" spans="50:51">
      <c r="AX175" t="s">
        <v>783</v>
      </c>
      <c r="AY175">
        <v>1446</v>
      </c>
    </row>
    <row r="176" spans="50:51">
      <c r="AX176" t="s">
        <v>1217</v>
      </c>
      <c r="AY176">
        <v>1452</v>
      </c>
    </row>
    <row r="177" spans="50:51">
      <c r="AX177" t="s">
        <v>751</v>
      </c>
      <c r="AY177">
        <v>1449</v>
      </c>
    </row>
    <row r="178" spans="50:51">
      <c r="AX178" t="s">
        <v>591</v>
      </c>
      <c r="AY178">
        <v>1448</v>
      </c>
    </row>
    <row r="179" spans="50:51">
      <c r="AX179" t="s">
        <v>1572</v>
      </c>
      <c r="AY179">
        <v>1447</v>
      </c>
    </row>
    <row r="180" spans="50:51">
      <c r="AX180" t="s">
        <v>94</v>
      </c>
      <c r="AY180">
        <v>1451</v>
      </c>
    </row>
    <row r="181" spans="50:51">
      <c r="AX181" t="s">
        <v>118</v>
      </c>
      <c r="AY181">
        <v>831</v>
      </c>
    </row>
    <row r="182" spans="50:51">
      <c r="AX182" t="s">
        <v>844</v>
      </c>
      <c r="AY182">
        <v>1450</v>
      </c>
    </row>
    <row r="183" spans="50:51">
      <c r="AX183" t="s">
        <v>1337</v>
      </c>
      <c r="AY183">
        <v>1438</v>
      </c>
    </row>
    <row r="184" spans="50:51">
      <c r="AX184" t="s">
        <v>119</v>
      </c>
      <c r="AY184">
        <v>1445</v>
      </c>
    </row>
    <row r="185" spans="50:51">
      <c r="AX185" t="s">
        <v>1008</v>
      </c>
      <c r="AY185">
        <v>1444</v>
      </c>
    </row>
    <row r="186" spans="50:51">
      <c r="AX186" t="s">
        <v>1302</v>
      </c>
      <c r="AY186">
        <v>13871</v>
      </c>
    </row>
    <row r="187" spans="50:51">
      <c r="AX187" t="s">
        <v>1218</v>
      </c>
      <c r="AY187">
        <v>1705</v>
      </c>
    </row>
    <row r="188" spans="50:51">
      <c r="AX188" t="s">
        <v>135</v>
      </c>
      <c r="AY188">
        <v>1739</v>
      </c>
    </row>
    <row r="189" spans="50:51">
      <c r="AX189" t="s">
        <v>756</v>
      </c>
      <c r="AY189">
        <v>1741</v>
      </c>
    </row>
    <row r="190" spans="50:51">
      <c r="AX190" t="s">
        <v>454</v>
      </c>
      <c r="AY190">
        <v>1740</v>
      </c>
    </row>
    <row r="191" spans="50:51">
      <c r="AX191" t="s">
        <v>567</v>
      </c>
      <c r="AY191">
        <v>1737</v>
      </c>
    </row>
    <row r="192" spans="50:51">
      <c r="AX192" t="s">
        <v>780</v>
      </c>
      <c r="AY192">
        <v>1738</v>
      </c>
    </row>
    <row r="193" spans="50:51">
      <c r="AX193" t="s">
        <v>1576</v>
      </c>
      <c r="AY193">
        <v>1735</v>
      </c>
    </row>
    <row r="194" spans="50:51">
      <c r="AX194" t="s">
        <v>251</v>
      </c>
      <c r="AY194">
        <v>1736</v>
      </c>
    </row>
    <row r="195" spans="50:51">
      <c r="AX195" t="s">
        <v>1400</v>
      </c>
      <c r="AY195">
        <v>221219</v>
      </c>
    </row>
  </sheetData>
  <sortState xmlns:xlrd2="http://schemas.microsoft.com/office/spreadsheetml/2017/richdata2" ref="LR3:LS22">
    <sortCondition ref="LR17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6</vt:i4>
      </vt:variant>
    </vt:vector>
  </HeadingPairs>
  <TitlesOfParts>
    <vt:vector size="11" baseType="lpstr">
      <vt:lpstr>Inscr_por_NOME</vt:lpstr>
      <vt:lpstr>Listagem</vt:lpstr>
      <vt:lpstr>Atletas</vt:lpstr>
      <vt:lpstr>Tab_Din_nome</vt:lpstr>
      <vt:lpstr>Tab_Din_listagem</vt:lpstr>
      <vt:lpstr>Inscr_por_NOME!Área_de_Impressão</vt:lpstr>
      <vt:lpstr>Listagem!Área_de_Impressão</vt:lpstr>
      <vt:lpstr>Escalões</vt:lpstr>
      <vt:lpstr>Ordem_Escalões</vt:lpstr>
      <vt:lpstr>Inscr_por_NOME!Títulos_de_Impressão</vt:lpstr>
      <vt:lpstr>Listagem!Títulos_de_Impressão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Microsoft Office User</cp:lastModifiedBy>
  <cp:lastPrinted>2019-11-20T17:10:56Z</cp:lastPrinted>
  <dcterms:created xsi:type="dcterms:W3CDTF">2014-11-26T18:34:13Z</dcterms:created>
  <dcterms:modified xsi:type="dcterms:W3CDTF">2021-04-20T15:02:49Z</dcterms:modified>
</cp:coreProperties>
</file>